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95c106f2fcd6d4/Documents/HPC 2020/FINANCIALS/2025-2026/"/>
    </mc:Choice>
  </mc:AlternateContent>
  <xr:revisionPtr revIDLastSave="0" documentId="8_{7D396CF8-D2BB-4B61-BC5F-14253A2F0175}" xr6:coauthVersionLast="47" xr6:coauthVersionMax="47" xr10:uidLastSave="{00000000-0000-0000-0000-000000000000}"/>
  <bookViews>
    <workbookView xWindow="-108" yWindow="-108" windowWidth="23256" windowHeight="12456" tabRatio="586" xr2:uid="{36BB83DE-D41A-4B15-B096-76D052DB54C8}"/>
  </bookViews>
  <sheets>
    <sheet name="Budg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44" i="1" l="1"/>
  <c r="BK41" i="1" l="1"/>
  <c r="BK43" i="1" s="1"/>
  <c r="BK47" i="1" s="1"/>
  <c r="BK51" i="1"/>
  <c r="BK20" i="1" l="1"/>
  <c r="BK5" i="1"/>
  <c r="BL47" i="1" l="1"/>
  <c r="BK50" i="1"/>
  <c r="BL51" i="1" s="1"/>
  <c r="BK14" i="1" l="1"/>
  <c r="BK12" i="1"/>
  <c r="BK11" i="1"/>
  <c r="BG6" i="1"/>
  <c r="BK6" i="1"/>
  <c r="BF6" i="1" s="1"/>
  <c r="L43" i="1"/>
  <c r="O43" i="1" s="1"/>
  <c r="BH6" i="1" l="1"/>
  <c r="BI6" i="1"/>
  <c r="BJ6" i="1"/>
  <c r="BC6" i="1"/>
  <c r="AY6" i="1"/>
  <c r="AZ6" i="1"/>
  <c r="BA6" i="1"/>
  <c r="BB6" i="1"/>
  <c r="BD6" i="1"/>
  <c r="BE6" i="1"/>
  <c r="W15" i="1"/>
  <c r="AD18" i="1"/>
  <c r="AC18" i="1"/>
  <c r="AB18" i="1"/>
  <c r="AA18" i="1"/>
  <c r="Z18" i="1"/>
  <c r="Y18" i="1"/>
  <c r="X18" i="1"/>
  <c r="V18" i="1"/>
  <c r="T18" i="1"/>
  <c r="S18" i="1"/>
  <c r="U20" i="1"/>
  <c r="T15" i="1"/>
  <c r="AD14" i="1"/>
  <c r="AC14" i="1"/>
  <c r="AA14" i="1"/>
  <c r="Z14" i="1"/>
  <c r="X14" i="1"/>
  <c r="W14" i="1"/>
  <c r="U14" i="1"/>
  <c r="T14" i="1"/>
  <c r="AD30" i="1"/>
  <c r="AC30" i="1"/>
  <c r="AB30" i="1"/>
  <c r="AA30" i="1"/>
  <c r="Z30" i="1"/>
  <c r="Y30" i="1"/>
  <c r="X30" i="1"/>
  <c r="W30" i="1"/>
  <c r="V30" i="1"/>
  <c r="U30" i="1"/>
  <c r="T30" i="1"/>
  <c r="S30" i="1"/>
  <c r="L74" i="1"/>
  <c r="L73" i="1"/>
  <c r="L72" i="1"/>
  <c r="L71" i="1"/>
  <c r="L70" i="1"/>
  <c r="L69" i="1"/>
  <c r="L68" i="1"/>
  <c r="L67" i="1"/>
  <c r="L66" i="1"/>
  <c r="AB14" i="1" s="1"/>
  <c r="L65" i="1"/>
  <c r="L64" i="1"/>
  <c r="L63" i="1"/>
  <c r="L62" i="1"/>
  <c r="L61" i="1"/>
  <c r="AA15" i="1" s="1"/>
  <c r="L60" i="1"/>
  <c r="L59" i="1"/>
  <c r="L58" i="1"/>
  <c r="L57" i="1"/>
  <c r="L56" i="1"/>
  <c r="L55" i="1"/>
  <c r="L54" i="1"/>
  <c r="L53" i="1"/>
  <c r="L52" i="1"/>
  <c r="L51" i="1"/>
  <c r="L50" i="1"/>
  <c r="Y22" i="1" s="1"/>
  <c r="L49" i="1"/>
  <c r="L48" i="1"/>
  <c r="Y14" i="1" s="1"/>
  <c r="L47" i="1"/>
  <c r="L46" i="1"/>
  <c r="L45" i="1"/>
  <c r="L44" i="1"/>
  <c r="L42" i="1"/>
  <c r="L41" i="1"/>
  <c r="X15" i="1" s="1"/>
  <c r="L40" i="1"/>
  <c r="L39" i="1"/>
  <c r="L38" i="1"/>
  <c r="L37" i="1"/>
  <c r="W18" i="1" s="1"/>
  <c r="L36" i="1"/>
  <c r="L35" i="1"/>
  <c r="L34" i="1"/>
  <c r="L33" i="1"/>
  <c r="L31" i="1"/>
  <c r="V14" i="1" s="1"/>
  <c r="L30" i="1"/>
  <c r="L29" i="1"/>
  <c r="L28" i="1"/>
  <c r="L27" i="1"/>
  <c r="L26" i="1"/>
  <c r="L25" i="1"/>
  <c r="U18" i="1" s="1"/>
  <c r="L24" i="1"/>
  <c r="L23" i="1"/>
  <c r="U15" i="1" s="1"/>
  <c r="L22" i="1"/>
  <c r="L21" i="1"/>
  <c r="L20" i="1"/>
  <c r="L19" i="1"/>
  <c r="U5" i="1" s="1"/>
  <c r="L18" i="1"/>
  <c r="L17" i="1"/>
  <c r="L16" i="1"/>
  <c r="L15" i="1"/>
  <c r="L14" i="1"/>
  <c r="L13" i="1"/>
  <c r="L12" i="1"/>
  <c r="L11" i="1"/>
  <c r="L9" i="1"/>
  <c r="L8" i="1"/>
  <c r="S14" i="1" s="1"/>
  <c r="L7" i="1"/>
  <c r="L6" i="1"/>
  <c r="S7" i="1" s="1"/>
  <c r="L5" i="1"/>
  <c r="L4" i="1"/>
  <c r="O4" i="1" s="1"/>
  <c r="AF37" i="1"/>
  <c r="AF35" i="1"/>
  <c r="AF33" i="1"/>
  <c r="AF30" i="1"/>
  <c r="AF28" i="1"/>
  <c r="AF27" i="1"/>
  <c r="AF25" i="1"/>
  <c r="AF22" i="1"/>
  <c r="AF20" i="1"/>
  <c r="AF19" i="1"/>
  <c r="AF18" i="1"/>
  <c r="AF16" i="1"/>
  <c r="AF12" i="1"/>
  <c r="AF11" i="1"/>
  <c r="AF9" i="1"/>
  <c r="AF7" i="1"/>
  <c r="AD5" i="1"/>
  <c r="AC5" i="1"/>
  <c r="O74" i="1" l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2" i="1"/>
  <c r="O41" i="1"/>
  <c r="O40" i="1"/>
  <c r="O39" i="1"/>
  <c r="O38" i="1"/>
  <c r="O37" i="1"/>
  <c r="O36" i="1"/>
  <c r="O35" i="1"/>
  <c r="O34" i="1"/>
  <c r="O33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AG38" i="1"/>
  <c r="AG36" i="1"/>
  <c r="AG34" i="1"/>
  <c r="AG31" i="1"/>
  <c r="AG29" i="1"/>
  <c r="AG26" i="1"/>
  <c r="AG24" i="1"/>
  <c r="AG23" i="1"/>
  <c r="AG21" i="1"/>
  <c r="AG17" i="1"/>
  <c r="G75" i="1" l="1"/>
  <c r="AB28" i="1" l="1"/>
  <c r="AF5" i="1"/>
  <c r="AF6" i="1" l="1"/>
  <c r="BJ7" i="1"/>
  <c r="BI7" i="1"/>
  <c r="BH7" i="1"/>
  <c r="BG7" i="1"/>
  <c r="BF7" i="1"/>
  <c r="BE7" i="1"/>
  <c r="BD7" i="1"/>
  <c r="BC7" i="1"/>
  <c r="BB7" i="1"/>
  <c r="BA7" i="1"/>
  <c r="AZ7" i="1"/>
  <c r="AY7" i="1"/>
  <c r="BJ5" i="1"/>
  <c r="BI5" i="1"/>
  <c r="BH5" i="1"/>
  <c r="BG5" i="1"/>
  <c r="BF5" i="1"/>
  <c r="BE5" i="1"/>
  <c r="BD5" i="1"/>
  <c r="BC5" i="1"/>
  <c r="BB5" i="1"/>
  <c r="BA5" i="1"/>
  <c r="AZ5" i="1"/>
  <c r="AY5" i="1"/>
  <c r="BE37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BC18" i="1"/>
  <c r="BC16" i="1"/>
  <c r="BB12" i="1"/>
  <c r="BD11" i="1"/>
  <c r="BJ11" i="1"/>
  <c r="BJ9" i="1"/>
  <c r="BI9" i="1"/>
  <c r="BH9" i="1"/>
  <c r="BG9" i="1"/>
  <c r="BF9" i="1"/>
  <c r="BE9" i="1"/>
  <c r="BD9" i="1"/>
  <c r="BC9" i="1"/>
  <c r="BB9" i="1"/>
  <c r="BA9" i="1"/>
  <c r="AZ9" i="1"/>
  <c r="AY9" i="1"/>
  <c r="AY14" i="1" l="1"/>
  <c r="AF14" i="1"/>
  <c r="BK15" i="1"/>
  <c r="AF15" i="1" s="1"/>
  <c r="Y11" i="1"/>
  <c r="AD37" i="1"/>
  <c r="AC37" i="1"/>
  <c r="AB37" i="1"/>
  <c r="AA37" i="1"/>
  <c r="Z37" i="1"/>
  <c r="Y37" i="1"/>
  <c r="X37" i="1"/>
  <c r="S37" i="1"/>
  <c r="T37" i="1"/>
  <c r="U37" i="1"/>
  <c r="V37" i="1"/>
  <c r="W37" i="1"/>
  <c r="T5" i="1"/>
  <c r="T6" i="1"/>
  <c r="S5" i="1"/>
  <c r="S15" i="1"/>
  <c r="G84" i="1"/>
  <c r="G85" i="1" s="1"/>
  <c r="G86" i="1" s="1"/>
  <c r="BJ39" i="1" l="1"/>
  <c r="BI39" i="1"/>
  <c r="BF39" i="1"/>
  <c r="BC39" i="1"/>
  <c r="BH33" i="1"/>
  <c r="BE33" i="1"/>
  <c r="BB33" i="1"/>
  <c r="AY33" i="1"/>
  <c r="BD30" i="1"/>
  <c r="BG28" i="1"/>
  <c r="BG39" i="1" s="1"/>
  <c r="BD22" i="1"/>
  <c r="AZ19" i="1"/>
  <c r="AZ39" i="1" s="1"/>
  <c r="BH15" i="1"/>
  <c r="BE15" i="1"/>
  <c r="BB15" i="1"/>
  <c r="AY15" i="1"/>
  <c r="BH14" i="1"/>
  <c r="BE14" i="1"/>
  <c r="BB14" i="1"/>
  <c r="BA39" i="1"/>
  <c r="L75" i="1"/>
  <c r="G87" i="1" s="1"/>
  <c r="Y6" i="1"/>
  <c r="BE39" i="1" l="1"/>
  <c r="AY39" i="1"/>
  <c r="BH39" i="1"/>
  <c r="BD39" i="1"/>
  <c r="BB39" i="1"/>
  <c r="AF39" i="1"/>
  <c r="AF42" i="1" s="1"/>
  <c r="AA6" i="1"/>
  <c r="AB15" i="1"/>
  <c r="W6" i="1"/>
  <c r="X6" i="1"/>
  <c r="X33" i="1"/>
  <c r="T12" i="1"/>
  <c r="U12" i="1"/>
  <c r="V5" i="1"/>
  <c r="F75" i="1"/>
  <c r="AJ5" i="1"/>
  <c r="AK5" i="1"/>
  <c r="AL5" i="1"/>
  <c r="AM5" i="1"/>
  <c r="AN5" i="1"/>
  <c r="AO5" i="1"/>
  <c r="AP5" i="1"/>
  <c r="AQ5" i="1"/>
  <c r="AR5" i="1"/>
  <c r="AS5" i="1"/>
  <c r="AT5" i="1"/>
  <c r="AU5" i="1"/>
  <c r="AJ7" i="1"/>
  <c r="AK7" i="1"/>
  <c r="AL7" i="1"/>
  <c r="AM7" i="1"/>
  <c r="AN7" i="1"/>
  <c r="AO7" i="1"/>
  <c r="AP7" i="1"/>
  <c r="AQ7" i="1"/>
  <c r="AR7" i="1"/>
  <c r="AS7" i="1"/>
  <c r="AT7" i="1"/>
  <c r="AU7" i="1"/>
  <c r="AV9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S9" i="1"/>
  <c r="AD35" i="1"/>
  <c r="AC35" i="1"/>
  <c r="AB35" i="1"/>
  <c r="AA35" i="1"/>
  <c r="Z35" i="1"/>
  <c r="Y35" i="1"/>
  <c r="X35" i="1"/>
  <c r="W35" i="1"/>
  <c r="V35" i="1"/>
  <c r="U35" i="1"/>
  <c r="T35" i="1"/>
  <c r="S35" i="1"/>
  <c r="Z33" i="1"/>
  <c r="AD28" i="1"/>
  <c r="AC28" i="1"/>
  <c r="AA28" i="1"/>
  <c r="Z28" i="1"/>
  <c r="Y28" i="1"/>
  <c r="X28" i="1"/>
  <c r="W28" i="1"/>
  <c r="V28" i="1"/>
  <c r="U28" i="1"/>
  <c r="T28" i="1"/>
  <c r="S28" i="1"/>
  <c r="AD27" i="1"/>
  <c r="AC27" i="1"/>
  <c r="AB27" i="1"/>
  <c r="AA27" i="1"/>
  <c r="Z27" i="1"/>
  <c r="Y27" i="1"/>
  <c r="X27" i="1"/>
  <c r="W27" i="1"/>
  <c r="V27" i="1"/>
  <c r="U27" i="1"/>
  <c r="T27" i="1"/>
  <c r="S27" i="1"/>
  <c r="AB25" i="1"/>
  <c r="Z25" i="1"/>
  <c r="Y25" i="1"/>
  <c r="X25" i="1"/>
  <c r="AD22" i="1"/>
  <c r="AC22" i="1"/>
  <c r="AB22" i="1"/>
  <c r="AA22" i="1"/>
  <c r="Z22" i="1"/>
  <c r="X22" i="1"/>
  <c r="W22" i="1"/>
  <c r="V22" i="1"/>
  <c r="U22" i="1"/>
  <c r="T22" i="1"/>
  <c r="S22" i="1"/>
  <c r="AD20" i="1"/>
  <c r="AC20" i="1"/>
  <c r="AB20" i="1"/>
  <c r="AA20" i="1"/>
  <c r="Z20" i="1"/>
  <c r="Y20" i="1"/>
  <c r="X20" i="1"/>
  <c r="W20" i="1"/>
  <c r="V20" i="1"/>
  <c r="T20" i="1"/>
  <c r="S20" i="1"/>
  <c r="AD19" i="1"/>
  <c r="AC19" i="1"/>
  <c r="AB19" i="1"/>
  <c r="AA19" i="1"/>
  <c r="Z19" i="1"/>
  <c r="Y19" i="1"/>
  <c r="X19" i="1"/>
  <c r="W19" i="1"/>
  <c r="V19" i="1"/>
  <c r="U19" i="1"/>
  <c r="T19" i="1"/>
  <c r="S19" i="1"/>
  <c r="AD15" i="1"/>
  <c r="AC15" i="1"/>
  <c r="Z15" i="1"/>
  <c r="Y15" i="1"/>
  <c r="X11" i="1"/>
  <c r="X9" i="1"/>
  <c r="AB7" i="1"/>
  <c r="Z7" i="1"/>
  <c r="V7" i="1"/>
  <c r="T7" i="1"/>
  <c r="AD6" i="1"/>
  <c r="AC6" i="1"/>
  <c r="AB6" i="1"/>
  <c r="Z6" i="1"/>
  <c r="V6" i="1"/>
  <c r="U6" i="1"/>
  <c r="S6" i="1"/>
  <c r="AB5" i="1"/>
  <c r="AA5" i="1"/>
  <c r="Z5" i="1"/>
  <c r="Y5" i="1"/>
  <c r="X5" i="1"/>
  <c r="W5" i="1"/>
  <c r="I75" i="1"/>
  <c r="V9" i="1"/>
  <c r="T9" i="1"/>
  <c r="U9" i="1"/>
  <c r="W9" i="1"/>
  <c r="Y9" i="1"/>
  <c r="Z9" i="1"/>
  <c r="AA9" i="1"/>
  <c r="AB9" i="1"/>
  <c r="AC9" i="1"/>
  <c r="AD9" i="1"/>
  <c r="S25" i="1"/>
  <c r="T25" i="1"/>
  <c r="U25" i="1"/>
  <c r="V25" i="1"/>
  <c r="W25" i="1"/>
  <c r="AA25" i="1"/>
  <c r="AC25" i="1"/>
  <c r="AD25" i="1"/>
  <c r="K75" i="1"/>
  <c r="AA7" i="1"/>
  <c r="AA11" i="1"/>
  <c r="AA12" i="1"/>
  <c r="AA16" i="1"/>
  <c r="AA33" i="1"/>
  <c r="AC7" i="1"/>
  <c r="AC11" i="1"/>
  <c r="AC12" i="1"/>
  <c r="AC16" i="1"/>
  <c r="AC33" i="1"/>
  <c r="S11" i="1"/>
  <c r="S12" i="1"/>
  <c r="S16" i="1"/>
  <c r="S33" i="1"/>
  <c r="T11" i="1"/>
  <c r="T16" i="1"/>
  <c r="T33" i="1"/>
  <c r="U7" i="1"/>
  <c r="U11" i="1"/>
  <c r="U16" i="1"/>
  <c r="U33" i="1"/>
  <c r="V11" i="1"/>
  <c r="V12" i="1"/>
  <c r="V16" i="1"/>
  <c r="V33" i="1"/>
  <c r="W7" i="1"/>
  <c r="W11" i="1"/>
  <c r="W12" i="1"/>
  <c r="W16" i="1"/>
  <c r="W33" i="1"/>
  <c r="X7" i="1"/>
  <c r="X12" i="1"/>
  <c r="X16" i="1"/>
  <c r="Y7" i="1"/>
  <c r="Y12" i="1"/>
  <c r="Y16" i="1"/>
  <c r="Y33" i="1"/>
  <c r="Z11" i="1"/>
  <c r="Z12" i="1"/>
  <c r="Z16" i="1"/>
  <c r="AB11" i="1"/>
  <c r="AB12" i="1"/>
  <c r="AB16" i="1"/>
  <c r="AB33" i="1"/>
  <c r="AD7" i="1"/>
  <c r="AD11" i="1"/>
  <c r="AD12" i="1"/>
  <c r="AD16" i="1"/>
  <c r="AD33" i="1"/>
  <c r="L78" i="1" l="1"/>
  <c r="BJ40" i="1"/>
  <c r="AV18" i="1"/>
  <c r="AV27" i="1"/>
  <c r="AV22" i="1"/>
  <c r="AV37" i="1"/>
  <c r="AV15" i="1"/>
  <c r="AV25" i="1"/>
  <c r="AV16" i="1"/>
  <c r="AV7" i="1"/>
  <c r="AV5" i="1"/>
  <c r="AV20" i="1"/>
  <c r="AV14" i="1"/>
  <c r="T39" i="1"/>
  <c r="AK6" i="1" s="1"/>
  <c r="AE5" i="1"/>
  <c r="W39" i="1"/>
  <c r="Y39" i="1"/>
  <c r="AA39" i="1"/>
  <c r="AC39" i="1"/>
  <c r="U39" i="1"/>
  <c r="AE28" i="1"/>
  <c r="AG28" i="1" s="1"/>
  <c r="V39" i="1"/>
  <c r="X39" i="1"/>
  <c r="Z39" i="1"/>
  <c r="AB39" i="1"/>
  <c r="AD39" i="1"/>
  <c r="S39" i="1"/>
  <c r="AE27" i="1"/>
  <c r="AG27" i="1" s="1"/>
  <c r="AE35" i="1"/>
  <c r="AG35" i="1" s="1"/>
  <c r="AE16" i="1"/>
  <c r="AG16" i="1" s="1"/>
  <c r="AE9" i="1"/>
  <c r="AG9" i="1" s="1"/>
  <c r="AE19" i="1"/>
  <c r="AG19" i="1" s="1"/>
  <c r="AE33" i="1"/>
  <c r="AG33" i="1" s="1"/>
  <c r="AE22" i="1"/>
  <c r="AG22" i="1" s="1"/>
  <c r="AE18" i="1"/>
  <c r="AG18" i="1" s="1"/>
  <c r="AE25" i="1"/>
  <c r="AG25" i="1" s="1"/>
  <c r="AE20" i="1"/>
  <c r="AG20" i="1" s="1"/>
  <c r="AE37" i="1"/>
  <c r="AG37" i="1" s="1"/>
  <c r="AE30" i="1"/>
  <c r="AG30" i="1" s="1"/>
  <c r="AE6" i="1"/>
  <c r="AE12" i="1"/>
  <c r="AE14" i="1"/>
  <c r="AE11" i="1"/>
  <c r="AG11" i="1" s="1"/>
  <c r="AE15" i="1"/>
  <c r="AG15" i="1" s="1"/>
  <c r="AE7" i="1"/>
  <c r="AG7" i="1" s="1"/>
  <c r="AG5" i="1" l="1"/>
  <c r="AG6" i="1"/>
  <c r="AG12" i="1"/>
  <c r="AG14" i="1"/>
  <c r="AN6" i="1"/>
  <c r="AT6" i="1"/>
  <c r="AL11" i="1"/>
  <c r="AQ11" i="1"/>
  <c r="AU11" i="1"/>
  <c r="AM12" i="1"/>
  <c r="AQ12" i="1"/>
  <c r="AU12" i="1"/>
  <c r="AL19" i="1"/>
  <c r="AQ19" i="1"/>
  <c r="AU19" i="1"/>
  <c r="AL28" i="1"/>
  <c r="AP28" i="1"/>
  <c r="AK30" i="1"/>
  <c r="AP30" i="1"/>
  <c r="AU30" i="1"/>
  <c r="AL33" i="1"/>
  <c r="AQ33" i="1"/>
  <c r="AK35" i="1"/>
  <c r="AO35" i="1"/>
  <c r="AS35" i="1"/>
  <c r="AJ6" i="1"/>
  <c r="AP6" i="1"/>
  <c r="AK11" i="1"/>
  <c r="AP11" i="1"/>
  <c r="AT11" i="1"/>
  <c r="AN12" i="1"/>
  <c r="AR12" i="1"/>
  <c r="AK19" i="1"/>
  <c r="AP19" i="1"/>
  <c r="AT19" i="1"/>
  <c r="AM28" i="1"/>
  <c r="AQ28" i="1"/>
  <c r="AJ30" i="1"/>
  <c r="AO30" i="1"/>
  <c r="AT30" i="1"/>
  <c r="AN33" i="1"/>
  <c r="AS33" i="1"/>
  <c r="AJ35" i="1"/>
  <c r="AN35" i="1"/>
  <c r="AR35" i="1"/>
  <c r="AQ6" i="1"/>
  <c r="AJ11" i="1"/>
  <c r="AN11" i="1"/>
  <c r="AS11" i="1"/>
  <c r="AJ12" i="1"/>
  <c r="AO12" i="1"/>
  <c r="AS12" i="1"/>
  <c r="AJ19" i="1"/>
  <c r="AO19" i="1"/>
  <c r="AS19" i="1"/>
  <c r="AJ28" i="1"/>
  <c r="AN28" i="1"/>
  <c r="AS28" i="1"/>
  <c r="AN30" i="1"/>
  <c r="AS30" i="1"/>
  <c r="AJ33" i="1"/>
  <c r="AO33" i="1"/>
  <c r="AT33" i="1"/>
  <c r="AM35" i="1"/>
  <c r="AQ35" i="1"/>
  <c r="AU35" i="1"/>
  <c r="AM6" i="1"/>
  <c r="AS6" i="1"/>
  <c r="AM11" i="1"/>
  <c r="AR11" i="1"/>
  <c r="AK12" i="1"/>
  <c r="AP12" i="1"/>
  <c r="AT12" i="1"/>
  <c r="AM19" i="1"/>
  <c r="AR19" i="1"/>
  <c r="AK28" i="1"/>
  <c r="AO28" i="1"/>
  <c r="AU28" i="1"/>
  <c r="AL30" i="1"/>
  <c r="AQ30" i="1"/>
  <c r="AK33" i="1"/>
  <c r="AP33" i="1"/>
  <c r="AU33" i="1"/>
  <c r="AL35" i="1"/>
  <c r="AP35" i="1"/>
  <c r="AT35" i="1"/>
  <c r="AE39" i="1"/>
  <c r="AG39" i="1" s="1"/>
  <c r="AE42" i="1" l="1"/>
  <c r="AS39" i="1"/>
  <c r="AK39" i="1"/>
  <c r="AM39" i="1"/>
  <c r="AV33" i="1"/>
  <c r="AV19" i="1"/>
  <c r="AO39" i="1"/>
  <c r="AV11" i="1"/>
  <c r="AV35" i="1"/>
  <c r="AP39" i="1"/>
  <c r="AU39" i="1"/>
  <c r="AL39" i="1"/>
  <c r="AN39" i="1"/>
  <c r="AR39" i="1"/>
  <c r="AV28" i="1"/>
  <c r="AV12" i="1"/>
  <c r="AQ39" i="1"/>
  <c r="AV30" i="1"/>
  <c r="AV6" i="1"/>
  <c r="AJ39" i="1"/>
  <c r="AT39" i="1"/>
  <c r="AG42" i="1" l="1"/>
  <c r="M80" i="1"/>
  <c r="AV39" i="1"/>
  <c r="AV42" i="1" s="1"/>
</calcChain>
</file>

<file path=xl/sharedStrings.xml><?xml version="1.0" encoding="utf-8"?>
<sst xmlns="http://schemas.openxmlformats.org/spreadsheetml/2006/main" count="497" uniqueCount="266">
  <si>
    <t>REF NUMBER</t>
  </si>
  <si>
    <t>DATE PAID</t>
  </si>
  <si>
    <t>MONTH</t>
  </si>
  <si>
    <t>ITEM DESC</t>
  </si>
  <si>
    <t>INV/REF NUMBER</t>
  </si>
  <si>
    <t>INCOME ACCOUNT</t>
  </si>
  <si>
    <t>AMOUNT</t>
  </si>
  <si>
    <t>VAT paid</t>
  </si>
  <si>
    <t>TOTAL ITEM</t>
  </si>
  <si>
    <t>REF NOTES</t>
  </si>
  <si>
    <t>TOTAL</t>
  </si>
  <si>
    <t>CLEARED AT BANK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</si>
  <si>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</si>
  <si>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</si>
  <si>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</si>
  <si>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</si>
  <si>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</si>
  <si>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</si>
  <si>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</si>
  <si>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</si>
  <si>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</si>
  <si>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</si>
  <si>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</si>
  <si>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</si>
  <si>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 SPENT</t>
  </si>
  <si>
    <t>BUDGET</t>
  </si>
  <si>
    <t>CLERK OFFICE</t>
  </si>
  <si>
    <t>CLERK EXPENSES</t>
  </si>
  <si>
    <t xml:space="preserve">PAYROLL </t>
  </si>
  <si>
    <t>AUDIT</t>
  </si>
  <si>
    <t>INSURANCE</t>
  </si>
  <si>
    <t>VILLAGE MAINTENANCE</t>
  </si>
  <si>
    <t>NET EXP</t>
  </si>
  <si>
    <t>VAT</t>
  </si>
  <si>
    <t>TOTAL EXP</t>
  </si>
  <si>
    <t>CONTINGENCY</t>
  </si>
  <si>
    <t>PLAY AREA</t>
  </si>
  <si>
    <t xml:space="preserve"> </t>
  </si>
  <si>
    <t xml:space="preserve">Total </t>
  </si>
  <si>
    <t>CLERK SALARY &amp; HRMC</t>
  </si>
  <si>
    <t>SUBSCRIPTIONS/DONATIONS/GRANTS</t>
  </si>
  <si>
    <t>STREETLIGHT RESERVE</t>
  </si>
  <si>
    <t>DEFIBRILATOR</t>
  </si>
  <si>
    <t>FIXED ASSETS</t>
  </si>
  <si>
    <t>ELECTIONS DISTRICT &amp; PARISH</t>
  </si>
  <si>
    <t xml:space="preserve">TRAINING </t>
  </si>
  <si>
    <t>SECTION 137</t>
  </si>
  <si>
    <t>CHRISTMAS</t>
  </si>
  <si>
    <t>ACTUAL v BUDGET</t>
  </si>
  <si>
    <t>EXPENSE CODE</t>
  </si>
  <si>
    <t>E-ON SUPPLY -STREETLIGHTS</t>
  </si>
  <si>
    <t>E-ON MAINTENANCE- STREETLIGHTS</t>
  </si>
  <si>
    <t xml:space="preserve">HIRE CHARGES / ZOOM </t>
  </si>
  <si>
    <t>BUDGET 2020/21</t>
  </si>
  <si>
    <t>TOTAL 20/21 Yr</t>
  </si>
  <si>
    <t>CHECK</t>
  </si>
  <si>
    <t xml:space="preserve">After Precept </t>
  </si>
  <si>
    <t>Cross check</t>
  </si>
  <si>
    <t>After VAT Refund</t>
  </si>
  <si>
    <t>TRAFFIC CALMING</t>
  </si>
  <si>
    <t>2024/2025</t>
  </si>
  <si>
    <t>HPC Reserve contribution to help keep precept as low as possible</t>
  </si>
  <si>
    <t xml:space="preserve">Bank Balance for Meeting </t>
  </si>
  <si>
    <r>
      <t xml:space="preserve">2024/2025 HPC Accounts &amp; Budget. </t>
    </r>
    <r>
      <rPr>
        <u/>
        <sz val="11"/>
        <color theme="1"/>
        <rFont val="Calibri"/>
        <family val="2"/>
        <scheme val="minor"/>
      </rPr>
      <t>Payments</t>
    </r>
  </si>
  <si>
    <t>2024/2025 ACTUALS TO DATE</t>
  </si>
  <si>
    <t>Opening Bank Balance 1st April  for Year 24/25</t>
  </si>
  <si>
    <t>Opening Balance 1st April 2024</t>
  </si>
  <si>
    <t>After Litter Picking Grant</t>
  </si>
  <si>
    <t>Year 24/5</t>
  </si>
  <si>
    <t>PRECEPT</t>
  </si>
  <si>
    <t>H JONES</t>
  </si>
  <si>
    <t>March wages x 5 wks</t>
  </si>
  <si>
    <t>H JONES (Amazon)</t>
  </si>
  <si>
    <t>FPO NUMBER</t>
  </si>
  <si>
    <t>FPO 1</t>
  </si>
  <si>
    <t>FPO 2</t>
  </si>
  <si>
    <t>Arnold Baker</t>
  </si>
  <si>
    <t>B BANKS</t>
  </si>
  <si>
    <t>FPO 3</t>
  </si>
  <si>
    <t>Litter picker Oct 2023 - March 2024</t>
  </si>
  <si>
    <t>N POWER</t>
  </si>
  <si>
    <t>FPO 4</t>
  </si>
  <si>
    <t>1 Jan - 31 Mar 2024 supply</t>
  </si>
  <si>
    <t>HMH</t>
  </si>
  <si>
    <t>2323-038</t>
  </si>
  <si>
    <t>IN10121096</t>
  </si>
  <si>
    <t>FPO 5</t>
  </si>
  <si>
    <t>March hall hire</t>
  </si>
  <si>
    <t xml:space="preserve">A BARBER </t>
  </si>
  <si>
    <t>FPO 6</t>
  </si>
  <si>
    <t>Supply &amp; fit new battery, spare pads</t>
  </si>
  <si>
    <t>R1</t>
  </si>
  <si>
    <t xml:space="preserve">FPO 7 </t>
  </si>
  <si>
    <t>Cork for noticeboard</t>
  </si>
  <si>
    <t>FPO 8</t>
  </si>
  <si>
    <t>Clerk office Dec, Jan, Feb</t>
  </si>
  <si>
    <t xml:space="preserve">STUART CLEGG </t>
  </si>
  <si>
    <t>FPO 9</t>
  </si>
  <si>
    <t>Payroll Jan - Mar</t>
  </si>
  <si>
    <t>CB GROUND MAINTENANCE</t>
  </si>
  <si>
    <t>FPO 10</t>
  </si>
  <si>
    <t>April cut &amp; strim play area x 2</t>
  </si>
  <si>
    <t>FPO 11</t>
  </si>
  <si>
    <t>April wages x 4 wks</t>
  </si>
  <si>
    <t>PAYROLL</t>
  </si>
  <si>
    <t>CLERK SALARY</t>
  </si>
  <si>
    <t>HIRE CHARGES</t>
  </si>
  <si>
    <t>ZURICH</t>
  </si>
  <si>
    <t>FPO 12</t>
  </si>
  <si>
    <t>1.5.24 - 31.5.25</t>
  </si>
  <si>
    <t>2324-056</t>
  </si>
  <si>
    <t>FPO 13</t>
  </si>
  <si>
    <t>May hall hire</t>
  </si>
  <si>
    <t>FPO 14</t>
  </si>
  <si>
    <t>Files, dividers, pins, document files</t>
  </si>
  <si>
    <t>FPO 15</t>
  </si>
  <si>
    <t xml:space="preserve">May wages x 5 wks </t>
  </si>
  <si>
    <t>FPO 16</t>
  </si>
  <si>
    <t>Clerk office, Mar, April, May</t>
  </si>
  <si>
    <t>FPO 17</t>
  </si>
  <si>
    <t>May cut &amp; strim play area x 2</t>
  </si>
  <si>
    <t>HOUSE INTO HOME</t>
  </si>
  <si>
    <t>SI - 244</t>
  </si>
  <si>
    <t>FPO 18</t>
  </si>
  <si>
    <t xml:space="preserve">Weed/strimming of High St, School Lane &amp; Hill Top </t>
  </si>
  <si>
    <t>E-ON</t>
  </si>
  <si>
    <t>FPO 19</t>
  </si>
  <si>
    <t>Quarter ending 30.6.24</t>
  </si>
  <si>
    <t>LALC</t>
  </si>
  <si>
    <t>FPO 20</t>
  </si>
  <si>
    <t>End of year internal audit</t>
  </si>
  <si>
    <t>FPO 21</t>
  </si>
  <si>
    <t>Annual fee</t>
  </si>
  <si>
    <t>SI - 255</t>
  </si>
  <si>
    <t>FPO 22</t>
  </si>
  <si>
    <t>Materials to repair fence</t>
  </si>
  <si>
    <t>Keyboard riser re DSE</t>
  </si>
  <si>
    <t>Laptop riser re DSE</t>
  </si>
  <si>
    <t>June cut &amp; strim play area x 2</t>
  </si>
  <si>
    <t>June wages x 4 weeks</t>
  </si>
  <si>
    <t>FPO 23</t>
  </si>
  <si>
    <t>FPO 24</t>
  </si>
  <si>
    <t>FPO 25</t>
  </si>
  <si>
    <t>FPO 26</t>
  </si>
  <si>
    <t>FPO 27</t>
  </si>
  <si>
    <t>1 Apr - 30 Jun 2024 supply</t>
  </si>
  <si>
    <t>SI -267</t>
  </si>
  <si>
    <t>FPO 28</t>
  </si>
  <si>
    <t>Play area fence repair</t>
  </si>
  <si>
    <t>R2</t>
  </si>
  <si>
    <t>HRMC</t>
  </si>
  <si>
    <t>VAT refund 2023-2024</t>
  </si>
  <si>
    <t>FPO 29</t>
  </si>
  <si>
    <t>July cut &amp; strim play area x 2</t>
  </si>
  <si>
    <t>FPO 30</t>
  </si>
  <si>
    <t>FPO 31</t>
  </si>
  <si>
    <t>July wages x 4 weeks</t>
  </si>
  <si>
    <t>Litter picker April - July inc</t>
  </si>
  <si>
    <t>ALL SAINTS CHURCH</t>
  </si>
  <si>
    <t>FPO 32</t>
  </si>
  <si>
    <t>Donation towards church grass cutting</t>
  </si>
  <si>
    <t>H JONES (cartridge save)</t>
  </si>
  <si>
    <t>FPO 33</t>
  </si>
  <si>
    <t>New cartridge for printer</t>
  </si>
  <si>
    <t>THE PLAY INSPECTION COMPANY</t>
  </si>
  <si>
    <t>HAR14082</t>
  </si>
  <si>
    <t>FPO 34</t>
  </si>
  <si>
    <t>FPO 35</t>
  </si>
  <si>
    <t>Aug wages x 5 weeks</t>
  </si>
  <si>
    <t>FPO 36</t>
  </si>
  <si>
    <t>Quarter ending 30.9.24</t>
  </si>
  <si>
    <t xml:space="preserve">FPO 37 </t>
  </si>
  <si>
    <t>Aug cut &amp; strim play area x 2</t>
  </si>
  <si>
    <t>FPO 38</t>
  </si>
  <si>
    <t>July &amp; Sept hall hire 2 hrs x 2</t>
  </si>
  <si>
    <t>FPO 39</t>
  </si>
  <si>
    <t>Sept wages x 4 wks</t>
  </si>
  <si>
    <t xml:space="preserve">Clerk office jun, jul, aug </t>
  </si>
  <si>
    <t>DD</t>
  </si>
  <si>
    <t>ICO</t>
  </si>
  <si>
    <t>FPO 41</t>
  </si>
  <si>
    <t>Sept cut &amp; strim play area x 2</t>
  </si>
  <si>
    <t>NPOWER</t>
  </si>
  <si>
    <t>IN11630961</t>
  </si>
  <si>
    <t>FPO 42</t>
  </si>
  <si>
    <t>Q1 Jul - 3 Oct 2024 supply</t>
  </si>
  <si>
    <t>FPO 43</t>
  </si>
  <si>
    <t>Payroll April - Sept</t>
  </si>
  <si>
    <t>FPO 44</t>
  </si>
  <si>
    <t>CiLCA training for Clerk</t>
  </si>
  <si>
    <t>TRAINING</t>
  </si>
  <si>
    <t>Checksum between L75 &amp; AE42 - Should always be Zero</t>
  </si>
  <si>
    <t>Estimated Bank Balance at end of FY</t>
  </si>
  <si>
    <t>SI-324</t>
  </si>
  <si>
    <t>FPO 45</t>
  </si>
  <si>
    <t>Repairs to play area as per PI report</t>
  </si>
  <si>
    <t>H JONES (Festive Lights)</t>
  </si>
  <si>
    <t>FPO 46</t>
  </si>
  <si>
    <t>10 m of xmas tree lights</t>
  </si>
  <si>
    <t>H JONES (Etsy)</t>
  </si>
  <si>
    <t>FPO 47</t>
  </si>
  <si>
    <t>Play area sign</t>
  </si>
  <si>
    <t xml:space="preserve">H JONES </t>
  </si>
  <si>
    <t>FPO 48</t>
  </si>
  <si>
    <t xml:space="preserve">Oct wages x 4 wks </t>
  </si>
  <si>
    <t>BP/FPO 40</t>
  </si>
  <si>
    <t>FPO 49</t>
  </si>
  <si>
    <t>Oct cut &amp; strim play area x 2</t>
  </si>
  <si>
    <t>FPO 50</t>
  </si>
  <si>
    <t>Litter picker Aug - Oct inc</t>
  </si>
  <si>
    <t>FPO 51</t>
  </si>
  <si>
    <t>Operational inspection</t>
  </si>
  <si>
    <t>H JONES (Sainsburys)</t>
  </si>
  <si>
    <t>FPO 52</t>
  </si>
  <si>
    <t>H JONES (M&amp;S)</t>
  </si>
  <si>
    <t>FPO 53</t>
  </si>
  <si>
    <t>Food, drink and tableware for xmas event</t>
  </si>
  <si>
    <t>Mincepies for xmas event</t>
  </si>
  <si>
    <t>Nov wages x 5 wks</t>
  </si>
  <si>
    <t>FPO 54</t>
  </si>
  <si>
    <t>FPO 55</t>
  </si>
  <si>
    <t>Quarter ending 31.12.24</t>
  </si>
  <si>
    <t>ASWARBY ESTATE</t>
  </si>
  <si>
    <t>FPO 56</t>
  </si>
  <si>
    <t>Norway spruce xmas tree</t>
  </si>
  <si>
    <t>FPO 57</t>
  </si>
  <si>
    <t>New Cllr training for BS</t>
  </si>
  <si>
    <t>FPO 58</t>
  </si>
  <si>
    <t>Dec wages x4wks</t>
  </si>
  <si>
    <t>FPO 59</t>
  </si>
  <si>
    <t>Clerk officse - sept, oct, nov 2024</t>
  </si>
  <si>
    <t>IN12256330</t>
  </si>
  <si>
    <t>FPO 60</t>
  </si>
  <si>
    <t>1 Oct 2024 - 31st Dec 2024</t>
  </si>
  <si>
    <t>Precept Claim for 2025 2026</t>
  </si>
  <si>
    <t>2025/2026</t>
  </si>
  <si>
    <t>BUDGET 2025/26</t>
  </si>
  <si>
    <t>2025/26 Budget</t>
  </si>
  <si>
    <t>2.6% increase</t>
  </si>
  <si>
    <t>Actual plus 10%</t>
  </si>
  <si>
    <t>5% increase - estimate</t>
  </si>
  <si>
    <t>No change - spent £760 current year</t>
  </si>
  <si>
    <t>Current year £582</t>
  </si>
  <si>
    <t>Less this year as batteries changed in current year</t>
  </si>
  <si>
    <t>Current year was £1681 - Village pump will need maintenance</t>
  </si>
  <si>
    <t>Will need to purchase 2 more batteries</t>
  </si>
  <si>
    <t>Increased from £500 current year due to more repairs required - £800 expected for current year</t>
  </si>
  <si>
    <t>No change - this is to allow potential replacement post on Chapel Lane and some new LED Lamps</t>
  </si>
  <si>
    <t>No change - church grass cutting contribution etc</t>
  </si>
  <si>
    <t xml:space="preserve">Site visit fee &amp; annual inspection </t>
  </si>
  <si>
    <t>Notes:</t>
  </si>
  <si>
    <t>Increase</t>
  </si>
  <si>
    <t>Estimated reserve at end of 2025 26 year minus contribution to budget</t>
  </si>
  <si>
    <t>Total Budget Spend</t>
  </si>
  <si>
    <t>Precept Claim current year for info</t>
  </si>
  <si>
    <t>Estimated Reserve at end of current year</t>
  </si>
  <si>
    <t>Estimated Reserve minus £2000 for HMH Floor</t>
  </si>
  <si>
    <t>Percentage of reserve compared to precept</t>
  </si>
  <si>
    <t>Current year budget £5,411 (NALC Scale 7) £12.63 per hour. Rate from 1 April 2024 to March 25 £13.26. Assume 2.6% increase after that. Plus £500 for additional 40 Hours of CilCA training. Plus Clerk back pay to 1 April 2024 (~63p per hour (£262)). Helen to check with accountant Re Employer NI Contributions.</t>
  </si>
  <si>
    <t>Budget was £150 last year but actual was £350 for current year (Clerk Book purchase (Arnold Baker £160))</t>
  </si>
  <si>
    <t>No change - Currently £7 but accountant wants to increase to £8. May have to find another payroll provider if counter offer is made but not accepted, which may cost more. Used since 24 Feb 2023 with no price increase since then.</t>
  </si>
  <si>
    <t>Hire charges for HMH for meetings</t>
  </si>
  <si>
    <t>includes 2 x new Cllr Courses</t>
  </si>
  <si>
    <t>Total Budget Spend for Precept Calculator</t>
  </si>
  <si>
    <t>Less what we will reclaim in VAT + Litterpicking grant (Income)</t>
  </si>
  <si>
    <t>This amount needs to be no more than £17,800 for a 5% Precept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</si>
</sst>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[$-809]dd\ mmmm\ yyyy;@"/>
    <numFmt numFmtId="166" formatCode="#,##0.00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Segoe U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0" borderId="6" xfId="0" applyNumberFormat="1" applyBorder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0" fontId="0" fillId="0" borderId="6" xfId="0" applyBorder="1"/>
    <xf numFmtId="0" fontId="0" fillId="2" borderId="1" xfId="0" applyFill="1" applyBorder="1"/>
    <xf numFmtId="4" fontId="0" fillId="0" borderId="1" xfId="0" applyNumberFormat="1" applyBorder="1" applyAlignment="1">
      <alignment horizontal="left"/>
    </xf>
    <xf numFmtId="4" fontId="0" fillId="0" borderId="3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14" xfId="0" applyBorder="1"/>
    <xf numFmtId="0" fontId="0" fillId="0" borderId="1" xfId="0" quotePrefix="1" applyBorder="1" applyAlignment="1">
      <alignment horizontal="left"/>
    </xf>
    <xf numFmtId="4" fontId="0" fillId="3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1" fillId="4" borderId="1" xfId="0" applyFont="1" applyFill="1" applyBorder="1"/>
    <xf numFmtId="0" fontId="3" fillId="4" borderId="1" xfId="0" applyFont="1" applyFill="1" applyBorder="1"/>
    <xf numFmtId="4" fontId="0" fillId="0" borderId="0" xfId="0" applyNumberFormat="1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2" borderId="6" xfId="0" applyFill="1" applyBorder="1"/>
    <xf numFmtId="0" fontId="3" fillId="2" borderId="7" xfId="0" applyFont="1" applyFill="1" applyBorder="1"/>
    <xf numFmtId="4" fontId="0" fillId="0" borderId="8" xfId="0" applyNumberFormat="1" applyBorder="1" applyAlignment="1">
      <alignment horizontal="left"/>
    </xf>
    <xf numFmtId="0" fontId="3" fillId="2" borderId="10" xfId="0" applyFont="1" applyFill="1" applyBorder="1"/>
    <xf numFmtId="0" fontId="0" fillId="3" borderId="6" xfId="0" applyFill="1" applyBorder="1"/>
    <xf numFmtId="0" fontId="3" fillId="3" borderId="7" xfId="0" applyFont="1" applyFill="1" applyBorder="1"/>
    <xf numFmtId="4" fontId="0" fillId="3" borderId="9" xfId="0" applyNumberFormat="1" applyFill="1" applyBorder="1" applyAlignment="1">
      <alignment horizontal="left"/>
    </xf>
    <xf numFmtId="0" fontId="3" fillId="3" borderId="10" xfId="0" applyFont="1" applyFill="1" applyBorder="1"/>
    <xf numFmtId="4" fontId="0" fillId="3" borderId="13" xfId="0" applyNumberFormat="1" applyFill="1" applyBorder="1" applyAlignment="1">
      <alignment horizontal="right"/>
    </xf>
    <xf numFmtId="0" fontId="0" fillId="4" borderId="6" xfId="0" applyFill="1" applyBorder="1"/>
    <xf numFmtId="0" fontId="3" fillId="4" borderId="7" xfId="0" applyFont="1" applyFill="1" applyBorder="1"/>
    <xf numFmtId="0" fontId="3" fillId="4" borderId="10" xfId="0" applyFont="1" applyFill="1" applyBorder="1"/>
    <xf numFmtId="4" fontId="3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6" fontId="0" fillId="0" borderId="0" xfId="0" applyNumberFormat="1"/>
    <xf numFmtId="4" fontId="0" fillId="0" borderId="1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left"/>
    </xf>
    <xf numFmtId="4" fontId="0" fillId="0" borderId="18" xfId="0" applyNumberFormat="1" applyBorder="1"/>
    <xf numFmtId="4" fontId="0" fillId="0" borderId="18" xfId="0" applyNumberFormat="1" applyBorder="1" applyAlignment="1">
      <alignment horizontal="right"/>
    </xf>
    <xf numFmtId="0" fontId="1" fillId="0" borderId="0" xfId="0" applyFont="1"/>
    <xf numFmtId="0" fontId="1" fillId="5" borderId="0" xfId="0" applyFont="1" applyFill="1"/>
    <xf numFmtId="0" fontId="3" fillId="5" borderId="0" xfId="0" applyFont="1" applyFill="1"/>
    <xf numFmtId="0" fontId="3" fillId="5" borderId="17" xfId="0" applyFont="1" applyFill="1" applyBorder="1"/>
    <xf numFmtId="0" fontId="0" fillId="5" borderId="18" xfId="0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1" fillId="4" borderId="11" xfId="0" applyNumberFormat="1" applyFont="1" applyFill="1" applyBorder="1" applyAlignment="1">
      <alignment horizontal="center"/>
    </xf>
    <xf numFmtId="4" fontId="0" fillId="6" borderId="6" xfId="0" applyNumberFormat="1" applyFill="1" applyBorder="1" applyAlignment="1">
      <alignment horizontal="right"/>
    </xf>
    <xf numFmtId="4" fontId="0" fillId="7" borderId="1" xfId="0" applyNumberForma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4" fontId="0" fillId="0" borderId="1" xfId="0" applyNumberFormat="1" applyBorder="1"/>
    <xf numFmtId="14" fontId="0" fillId="0" borderId="6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right"/>
    </xf>
    <xf numFmtId="164" fontId="1" fillId="3" borderId="5" xfId="0" applyNumberFormat="1" applyFont="1" applyFill="1" applyBorder="1" applyAlignment="1">
      <alignment horizontal="right"/>
    </xf>
    <xf numFmtId="8" fontId="1" fillId="0" borderId="0" xfId="0" applyNumberFormat="1" applyFont="1"/>
    <xf numFmtId="4" fontId="0" fillId="3" borderId="1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2" fillId="0" borderId="1" xfId="0" applyNumberFormat="1" applyFont="1" applyBorder="1" applyAlignment="1">
      <alignment horizontal="right"/>
    </xf>
    <xf numFmtId="164" fontId="1" fillId="5" borderId="2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4" fontId="0" fillId="0" borderId="0" xfId="0" applyNumberFormat="1"/>
    <xf numFmtId="0" fontId="0" fillId="0" borderId="19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" fontId="3" fillId="0" borderId="0" xfId="0" applyNumberFormat="1" applyFont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4" fontId="0" fillId="0" borderId="6" xfId="0" applyNumberFormat="1" applyBorder="1" applyAlignment="1">
      <alignment horizontal="center" wrapText="1"/>
    </xf>
    <xf numFmtId="164" fontId="7" fillId="5" borderId="0" xfId="0" applyNumberFormat="1" applyFont="1" applyFill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1" fillId="3" borderId="22" xfId="0" applyNumberFormat="1" applyFont="1" applyFill="1" applyBorder="1" applyAlignment="1">
      <alignment horizontal="right"/>
    </xf>
    <xf numFmtId="164" fontId="1" fillId="3" borderId="14" xfId="0" applyNumberFormat="1" applyFont="1" applyFill="1" applyBorder="1" applyAlignment="1">
      <alignment horizontal="right"/>
    </xf>
    <xf numFmtId="4" fontId="1" fillId="3" borderId="22" xfId="0" applyNumberFormat="1" applyFont="1" applyFill="1" applyBorder="1" applyAlignment="1">
      <alignment horizontal="right"/>
    </xf>
    <xf numFmtId="164" fontId="0" fillId="0" borderId="0" xfId="0" applyNumberFormat="1"/>
    <xf numFmtId="164" fontId="5" fillId="6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9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9" fillId="0" borderId="0" xfId="0" applyFont="1"/>
    <xf numFmtId="4" fontId="1" fillId="0" borderId="1" xfId="0" applyNumberFormat="1" applyFont="1" applyBorder="1" applyAlignment="1">
      <alignment horizontal="right"/>
    </xf>
    <xf numFmtId="164" fontId="8" fillId="4" borderId="1" xfId="0" applyNumberFormat="1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01D45-00C1-42C9-A0E0-DF497DE88DF7}">
  <dimension ref="A1:BN90"/>
  <sheetViews>
    <sheetView tabSelected="1" topLeftCell="AX1" zoomScale="110" zoomScaleNormal="110" workbookViewId="0">
      <pane xSplit="1" topLeftCell="BE1" activePane="topRight" state="frozen"/>
      <selection activeCell="AX1" sqref="AX1"/>
      <selection pane="topRight" activeCell="BK1" sqref="BK1"/>
    </sheetView>
  </sheetViews>
  <sheetFormatPr defaultRowHeight="14.4" x14ac:dyDescent="0.3"/>
  <cols>
    <col min="1" max="1" width="14.44140625" hidden="1" customWidth="1"/>
    <col min="2" max="2" width="13" hidden="1" customWidth="1"/>
    <col min="3" max="3" width="16.109375" hidden="1" customWidth="1"/>
    <col min="4" max="4" width="20.44140625" hidden="1" customWidth="1"/>
    <col min="5" max="5" width="13" style="5" hidden="1" customWidth="1"/>
    <col min="6" max="6" width="12.21875" style="102" hidden="1" customWidth="1"/>
    <col min="7" max="7" width="12.21875" style="46" hidden="1" customWidth="1"/>
    <col min="8" max="8" width="32.5546875" hidden="1" customWidth="1"/>
    <col min="9" max="9" width="11.5546875" style="6" hidden="1" customWidth="1"/>
    <col min="10" max="10" width="6.88671875" style="6" hidden="1" customWidth="1"/>
    <col min="11" max="11" width="11.109375" style="13" hidden="1" customWidth="1"/>
    <col min="12" max="12" width="20.5546875" style="130" hidden="1" customWidth="1"/>
    <col min="13" max="13" width="12.109375" hidden="1" customWidth="1"/>
    <col min="14" max="14" width="40.5546875" hidden="1" customWidth="1"/>
    <col min="15" max="15" width="11" hidden="1" customWidth="1"/>
    <col min="16" max="16" width="18.109375" style="102" hidden="1" customWidth="1"/>
    <col min="17" max="17" width="2.77734375" hidden="1" customWidth="1"/>
    <col min="18" max="18" width="36.44140625" hidden="1" customWidth="1"/>
    <col min="19" max="23" width="0" style="13" hidden="1" customWidth="1"/>
    <col min="24" max="24" width="11.77734375" style="13" hidden="1" customWidth="1"/>
    <col min="25" max="25" width="0" style="13" hidden="1" customWidth="1"/>
    <col min="26" max="26" width="11.21875" style="13" hidden="1" customWidth="1"/>
    <col min="27" max="27" width="11.77734375" style="13" hidden="1" customWidth="1"/>
    <col min="28" max="28" width="0" style="13" hidden="1" customWidth="1"/>
    <col min="29" max="29" width="11.109375" style="13" hidden="1" customWidth="1"/>
    <col min="30" max="30" width="0" style="13" hidden="1" customWidth="1"/>
    <col min="31" max="31" width="17" style="13" hidden="1" customWidth="1"/>
    <col min="32" max="32" width="13.44140625" style="13" hidden="1" customWidth="1"/>
    <col min="33" max="33" width="16.77734375" style="13" hidden="1" customWidth="1"/>
    <col min="34" max="34" width="0" style="13" hidden="1" customWidth="1"/>
    <col min="35" max="35" width="38" style="13" hidden="1" customWidth="1"/>
    <col min="36" max="36" width="11" style="13" hidden="1" customWidth="1"/>
    <col min="37" max="37" width="10.77734375" hidden="1" customWidth="1"/>
    <col min="38" max="38" width="11.109375" hidden="1" customWidth="1"/>
    <col min="39" max="39" width="11.44140625" hidden="1" customWidth="1"/>
    <col min="40" max="40" width="12" hidden="1" customWidth="1"/>
    <col min="41" max="41" width="12.88671875" hidden="1" customWidth="1"/>
    <col min="42" max="42" width="11.77734375" hidden="1" customWidth="1"/>
    <col min="43" max="43" width="11.88671875" hidden="1" customWidth="1"/>
    <col min="44" max="44" width="11.44140625" hidden="1" customWidth="1"/>
    <col min="45" max="45" width="11.109375" hidden="1" customWidth="1"/>
    <col min="46" max="47" width="11.88671875" hidden="1" customWidth="1"/>
    <col min="48" max="48" width="18.77734375" hidden="1" customWidth="1"/>
    <col min="49" max="49" width="0" hidden="1" customWidth="1"/>
    <col min="50" max="50" width="38.77734375" customWidth="1"/>
    <col min="51" max="55" width="8.88671875" customWidth="1"/>
    <col min="56" max="56" width="11.5546875" customWidth="1"/>
    <col min="57" max="57" width="12" customWidth="1"/>
    <col min="58" max="58" width="12.44140625" customWidth="1"/>
    <col min="59" max="59" width="13.21875" customWidth="1"/>
    <col min="60" max="60" width="11.44140625" customWidth="1"/>
    <col min="61" max="61" width="11.88671875" customWidth="1"/>
    <col min="62" max="62" width="12.5546875" customWidth="1"/>
    <col min="63" max="63" width="17.88671875" style="94" customWidth="1"/>
    <col min="64" max="64" width="10.109375" style="5" bestFit="1" customWidth="1"/>
    <col min="65" max="65" width="8.88671875" customWidth="1"/>
    <col min="66" max="66" width="10.109375" bestFit="1" customWidth="1"/>
  </cols>
  <sheetData>
    <row r="1" spans="1:65" ht="15" thickBot="1" x14ac:dyDescent="0.35">
      <c r="A1" s="74" t="s">
        <v>63</v>
      </c>
      <c r="B1" s="75"/>
      <c r="C1" s="75"/>
      <c r="D1" s="67"/>
      <c r="E1" s="68"/>
      <c r="F1" s="117"/>
      <c r="G1" s="112"/>
      <c r="H1" s="67"/>
      <c r="I1" s="70"/>
      <c r="J1" s="70"/>
      <c r="K1" s="69"/>
      <c r="L1" s="126"/>
      <c r="M1" s="67"/>
      <c r="N1" s="67"/>
      <c r="O1" s="67"/>
      <c r="P1" s="109"/>
      <c r="R1" s="73" t="s">
        <v>60</v>
      </c>
      <c r="AX1" s="72" t="s">
        <v>235</v>
      </c>
      <c r="BL1" s="141">
        <v>2.5999999999999999E-2</v>
      </c>
      <c r="BM1" s="139">
        <v>0.05</v>
      </c>
    </row>
    <row r="2" spans="1:65" s="5" customFormat="1" ht="15" thickBot="1" x14ac:dyDescent="0.35">
      <c r="A2" s="76" t="s">
        <v>0</v>
      </c>
      <c r="B2" s="77" t="s">
        <v>1</v>
      </c>
      <c r="C2" s="77" t="s">
        <v>2</v>
      </c>
      <c r="D2" s="77" t="s">
        <v>3</v>
      </c>
      <c r="E2" s="148" t="s">
        <v>4</v>
      </c>
      <c r="F2" s="148" t="s">
        <v>5</v>
      </c>
      <c r="G2" s="78" t="s">
        <v>6</v>
      </c>
      <c r="H2" s="79" t="s">
        <v>49</v>
      </c>
      <c r="I2" s="78" t="s">
        <v>6</v>
      </c>
      <c r="J2" s="78"/>
      <c r="K2" s="78" t="s">
        <v>7</v>
      </c>
      <c r="L2" s="124" t="s">
        <v>8</v>
      </c>
      <c r="M2" s="148" t="s">
        <v>73</v>
      </c>
      <c r="N2" s="77" t="s">
        <v>9</v>
      </c>
      <c r="O2" s="77" t="s">
        <v>10</v>
      </c>
      <c r="P2" s="80" t="s">
        <v>11</v>
      </c>
      <c r="Q2" s="106"/>
      <c r="R2" s="58" t="s">
        <v>64</v>
      </c>
      <c r="S2" s="50" t="s">
        <v>12</v>
      </c>
      <c r="T2" s="50" t="s">
        <v>13</v>
      </c>
      <c r="U2" s="50" t="s">
        <v>14</v>
      </c>
      <c r="V2" s="50" t="s">
        <v>15</v>
      </c>
      <c r="W2" s="50" t="s">
        <v>16</v>
      </c>
      <c r="X2" s="50" t="s">
        <v>17</v>
      </c>
      <c r="Y2" s="50" t="s">
        <v>18</v>
      </c>
      <c r="Z2" s="50" t="s">
        <v>19</v>
      </c>
      <c r="AA2" s="50" t="s">
        <v>20</v>
      </c>
      <c r="AB2" s="50" t="s">
        <v>21</v>
      </c>
      <c r="AC2" s="50" t="s">
        <v>22</v>
      </c>
      <c r="AD2" s="50" t="s">
        <v>23</v>
      </c>
      <c r="AE2" s="123" t="s">
        <v>24</v>
      </c>
      <c r="AF2" s="123" t="s">
        <v>25</v>
      </c>
      <c r="AG2" s="123" t="s">
        <v>48</v>
      </c>
      <c r="AH2" s="14"/>
      <c r="AI2" s="53" t="s">
        <v>53</v>
      </c>
      <c r="AJ2" s="50" t="s">
        <v>12</v>
      </c>
      <c r="AK2" s="50" t="s">
        <v>13</v>
      </c>
      <c r="AL2" s="50" t="s">
        <v>14</v>
      </c>
      <c r="AM2" s="50" t="s">
        <v>15</v>
      </c>
      <c r="AN2" s="50" t="s">
        <v>16</v>
      </c>
      <c r="AO2" s="50" t="s">
        <v>17</v>
      </c>
      <c r="AP2" s="50" t="s">
        <v>18</v>
      </c>
      <c r="AQ2" s="50" t="s">
        <v>19</v>
      </c>
      <c r="AR2" s="50" t="s">
        <v>20</v>
      </c>
      <c r="AS2" s="50" t="s">
        <v>21</v>
      </c>
      <c r="AT2" s="50" t="s">
        <v>22</v>
      </c>
      <c r="AU2" s="50" t="s">
        <v>23</v>
      </c>
      <c r="AV2" s="54" t="s">
        <v>54</v>
      </c>
      <c r="AX2" s="49" t="s">
        <v>236</v>
      </c>
      <c r="AY2" s="84" t="s">
        <v>12</v>
      </c>
      <c r="AZ2" s="84" t="s">
        <v>13</v>
      </c>
      <c r="BA2" s="84" t="s">
        <v>14</v>
      </c>
      <c r="BB2" s="84" t="s">
        <v>15</v>
      </c>
      <c r="BC2" s="84" t="s">
        <v>16</v>
      </c>
      <c r="BD2" s="84" t="s">
        <v>17</v>
      </c>
      <c r="BE2" s="84" t="s">
        <v>18</v>
      </c>
      <c r="BF2" s="84" t="s">
        <v>19</v>
      </c>
      <c r="BG2" s="84" t="s">
        <v>20</v>
      </c>
      <c r="BH2" s="84" t="s">
        <v>21</v>
      </c>
      <c r="BI2" s="84" t="s">
        <v>22</v>
      </c>
      <c r="BJ2" s="84" t="s">
        <v>23</v>
      </c>
      <c r="BK2" s="85" t="s">
        <v>237</v>
      </c>
      <c r="BL2" s="140">
        <v>1.026</v>
      </c>
      <c r="BM2" s="102">
        <v>1.05</v>
      </c>
    </row>
    <row r="3" spans="1:65" ht="17.399999999999999" thickBot="1" x14ac:dyDescent="0.45">
      <c r="A3" s="81"/>
      <c r="B3" s="64"/>
      <c r="C3" s="64"/>
      <c r="D3" s="64"/>
      <c r="E3" s="149"/>
      <c r="F3" s="149"/>
      <c r="G3" s="65"/>
      <c r="H3" s="66"/>
      <c r="I3" s="65"/>
      <c r="J3" s="65"/>
      <c r="K3" s="65"/>
      <c r="L3" s="125"/>
      <c r="M3" s="149"/>
      <c r="N3" s="64"/>
      <c r="O3" s="64"/>
      <c r="P3" s="82"/>
      <c r="Q3" s="107"/>
      <c r="R3" s="59" t="s">
        <v>49</v>
      </c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101" t="s">
        <v>68</v>
      </c>
      <c r="AF3" s="101" t="s">
        <v>68</v>
      </c>
      <c r="AG3" s="56"/>
      <c r="AI3" s="55" t="s">
        <v>49</v>
      </c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56"/>
      <c r="AX3" s="51" t="s">
        <v>49</v>
      </c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85"/>
      <c r="BL3" s="142" t="s">
        <v>250</v>
      </c>
    </row>
    <row r="4" spans="1:65" ht="16.8" x14ac:dyDescent="0.4">
      <c r="A4" s="25" t="s">
        <v>91</v>
      </c>
      <c r="B4" s="93">
        <v>45384</v>
      </c>
      <c r="C4" s="25" t="s">
        <v>12</v>
      </c>
      <c r="D4" s="25" t="s">
        <v>69</v>
      </c>
      <c r="E4" s="23"/>
      <c r="F4" s="118">
        <v>16582.45</v>
      </c>
      <c r="G4" s="26"/>
      <c r="H4" s="42"/>
      <c r="I4" s="12"/>
      <c r="J4" s="12"/>
      <c r="K4" s="27"/>
      <c r="L4" s="127">
        <f>I4+K4</f>
        <v>0</v>
      </c>
      <c r="M4" s="24"/>
      <c r="N4" s="25"/>
      <c r="O4" s="8">
        <f>L4</f>
        <v>0</v>
      </c>
      <c r="P4" s="25"/>
      <c r="Q4" s="28"/>
      <c r="R4" s="57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39"/>
      <c r="AF4" s="39"/>
      <c r="AG4" s="39"/>
      <c r="AI4" s="52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39"/>
      <c r="AX4" s="48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83"/>
      <c r="BL4" s="142"/>
    </row>
    <row r="5" spans="1:65" x14ac:dyDescent="0.3">
      <c r="A5" s="2">
        <v>1</v>
      </c>
      <c r="B5" s="3">
        <v>45393</v>
      </c>
      <c r="C5" s="3" t="s">
        <v>12</v>
      </c>
      <c r="D5" s="1" t="s">
        <v>70</v>
      </c>
      <c r="E5" s="1"/>
      <c r="F5" s="8"/>
      <c r="G5" s="8">
        <v>505.2</v>
      </c>
      <c r="H5" s="42" t="s">
        <v>105</v>
      </c>
      <c r="I5" s="10">
        <v>505.2</v>
      </c>
      <c r="J5" s="10"/>
      <c r="K5" s="11"/>
      <c r="L5" s="127">
        <f t="shared" ref="L5:L70" si="0">I5+K5</f>
        <v>505.2</v>
      </c>
      <c r="M5" s="2" t="s">
        <v>74</v>
      </c>
      <c r="N5" s="1" t="s">
        <v>71</v>
      </c>
      <c r="O5" s="8">
        <f>L5</f>
        <v>505.2</v>
      </c>
      <c r="P5" s="110">
        <v>45393</v>
      </c>
      <c r="Q5" s="9"/>
      <c r="R5" s="43" t="s">
        <v>105</v>
      </c>
      <c r="S5" s="8">
        <f>SUMIFS(L5:L74,C5:C74,"APRIL",H5:H74,"CLERK SALARY")</f>
        <v>505.2</v>
      </c>
      <c r="T5" s="8">
        <f>SUMIFS(L5:L74,C5:C74,"MAY",H5:H74,"CLERK SALARY")</f>
        <v>404.16</v>
      </c>
      <c r="U5" s="8">
        <f>SUMIFS(L5:L74,C5:C74,"JUNE",H5:H74,"CLERK SALARY")</f>
        <v>505.2</v>
      </c>
      <c r="V5" s="8">
        <f>SUMIFS(L5:L74,C5:C74,"JULY",H5:H74,"CLERK SALARY")</f>
        <v>404.16</v>
      </c>
      <c r="W5" s="8">
        <f>SUMIFS(L5:L74,C5:C74,"AUGUST",H5:H74,"CLERK SALARY")</f>
        <v>404.16</v>
      </c>
      <c r="X5" s="8">
        <f>SUMIFS(L5:L74,C5:C74,"SEPTEMBER",H5:H74,"CLERK SALARY")</f>
        <v>505.2</v>
      </c>
      <c r="Y5" s="8">
        <f>SUMIFS(L5:L74,C5:C74,"OCTOBER",H5:H74,"CLERK SALARY")</f>
        <v>404.16</v>
      </c>
      <c r="Z5" s="8">
        <f>SUMIFS(L5:L74,C5:C74,"NOVEMBER",H5:H74,"CLERK SALARY")</f>
        <v>404.16</v>
      </c>
      <c r="AA5" s="8">
        <f>SUMIFS(L5:L74,C5:C74,"DECEMBER",H5:H74,"CLERK SALARY")</f>
        <v>505.2</v>
      </c>
      <c r="AB5" s="8">
        <f>SUMIFS(L5:L74,C5:C74,"JANUARY",H5:H74,"CLERK SALARY")</f>
        <v>404.16</v>
      </c>
      <c r="AC5" s="8">
        <f>SUMIFS(M5:M74,D5:D74,"JANUARY",I5:I74,"CLERK SALARY")</f>
        <v>0</v>
      </c>
      <c r="AD5" s="8">
        <f>SUMIFS(N5:N74,E5:E74,"JANUARY",J5:J74,"CLERK SALARY")</f>
        <v>0</v>
      </c>
      <c r="AE5" s="36">
        <f>SUM(S5:AD5)</f>
        <v>4445.7599999999993</v>
      </c>
      <c r="AF5" s="36">
        <f>BK5</f>
        <v>6421.5801599999995</v>
      </c>
      <c r="AG5" s="36">
        <f>SUM(AF5-AE5)</f>
        <v>1975.8201600000002</v>
      </c>
      <c r="AI5" s="40" t="s">
        <v>39</v>
      </c>
      <c r="AJ5" s="8">
        <f>SUM(4226.56/12)</f>
        <v>352.21333333333337</v>
      </c>
      <c r="AK5" s="8">
        <f t="shared" ref="AK5:AU5" si="1">SUM(4226.56/12)</f>
        <v>352.21333333333337</v>
      </c>
      <c r="AL5" s="8">
        <f t="shared" si="1"/>
        <v>352.21333333333337</v>
      </c>
      <c r="AM5" s="8">
        <f t="shared" si="1"/>
        <v>352.21333333333337</v>
      </c>
      <c r="AN5" s="8">
        <f t="shared" si="1"/>
        <v>352.21333333333337</v>
      </c>
      <c r="AO5" s="8">
        <f t="shared" si="1"/>
        <v>352.21333333333337</v>
      </c>
      <c r="AP5" s="8">
        <f t="shared" si="1"/>
        <v>352.21333333333337</v>
      </c>
      <c r="AQ5" s="8">
        <f t="shared" si="1"/>
        <v>352.21333333333337</v>
      </c>
      <c r="AR5" s="8">
        <f t="shared" si="1"/>
        <v>352.21333333333337</v>
      </c>
      <c r="AS5" s="8">
        <f t="shared" si="1"/>
        <v>352.21333333333337</v>
      </c>
      <c r="AT5" s="8">
        <f t="shared" si="1"/>
        <v>352.21333333333337</v>
      </c>
      <c r="AU5" s="8">
        <f t="shared" si="1"/>
        <v>352.21333333333337</v>
      </c>
      <c r="AV5" s="36">
        <f>SUM(AJ5:AU5)</f>
        <v>4226.5599999999995</v>
      </c>
      <c r="AX5" s="29" t="s">
        <v>39</v>
      </c>
      <c r="AY5" s="8">
        <f>$BK5/12</f>
        <v>535.13167999999996</v>
      </c>
      <c r="AZ5" s="8">
        <f t="shared" ref="AZ5:BJ5" si="2">$BK5/12</f>
        <v>535.13167999999996</v>
      </c>
      <c r="BA5" s="8">
        <f t="shared" si="2"/>
        <v>535.13167999999996</v>
      </c>
      <c r="BB5" s="8">
        <f t="shared" si="2"/>
        <v>535.13167999999996</v>
      </c>
      <c r="BC5" s="8">
        <f t="shared" si="2"/>
        <v>535.13167999999996</v>
      </c>
      <c r="BD5" s="8">
        <f t="shared" si="2"/>
        <v>535.13167999999996</v>
      </c>
      <c r="BE5" s="8">
        <f t="shared" si="2"/>
        <v>535.13167999999996</v>
      </c>
      <c r="BF5" s="8">
        <f t="shared" si="2"/>
        <v>535.13167999999996</v>
      </c>
      <c r="BG5" s="8">
        <f t="shared" si="2"/>
        <v>535.13167999999996</v>
      </c>
      <c r="BH5" s="8">
        <f t="shared" si="2"/>
        <v>535.13167999999996</v>
      </c>
      <c r="BI5" s="8">
        <f t="shared" si="2"/>
        <v>535.13167999999996</v>
      </c>
      <c r="BJ5" s="8">
        <f t="shared" si="2"/>
        <v>535.13167999999996</v>
      </c>
      <c r="BK5" s="147">
        <f>((416*13.26)*BL2)+500+262</f>
        <v>6421.5801599999995</v>
      </c>
      <c r="BL5" s="5" t="s">
        <v>258</v>
      </c>
    </row>
    <row r="6" spans="1:65" x14ac:dyDescent="0.3">
      <c r="A6" s="2">
        <v>2</v>
      </c>
      <c r="B6" s="3">
        <v>45393</v>
      </c>
      <c r="C6" s="3" t="s">
        <v>12</v>
      </c>
      <c r="D6" s="1" t="s">
        <v>72</v>
      </c>
      <c r="E6" s="1"/>
      <c r="F6" s="2"/>
      <c r="G6" s="8">
        <v>160.04</v>
      </c>
      <c r="H6" s="42" t="s">
        <v>27</v>
      </c>
      <c r="I6" s="10">
        <v>160.04</v>
      </c>
      <c r="J6" s="10"/>
      <c r="K6" s="11"/>
      <c r="L6" s="127">
        <f t="shared" si="0"/>
        <v>160.04</v>
      </c>
      <c r="M6" s="2" t="s">
        <v>75</v>
      </c>
      <c r="N6" s="1" t="s">
        <v>76</v>
      </c>
      <c r="O6" s="8">
        <f t="shared" ref="O6:O71" si="3">L6</f>
        <v>160.04</v>
      </c>
      <c r="P6" s="110">
        <v>45393</v>
      </c>
      <c r="Q6" s="9"/>
      <c r="R6" s="43" t="s">
        <v>26</v>
      </c>
      <c r="S6" s="8">
        <f>SUMIFS(L5:L74,C5:C74,"APRIL",H5:H74,"CLERK OFFICE")</f>
        <v>48.15</v>
      </c>
      <c r="T6" s="8">
        <f>SUMIFS(L5:L74,C5:C74,"MAY",H5:H74,"CLERK OFFICE")</f>
        <v>0</v>
      </c>
      <c r="U6" s="8">
        <f>SUMIFS(L5:L74,C5:C74,"JUNE",H5:H74,"CLERK OFFICE")</f>
        <v>48.15</v>
      </c>
      <c r="V6" s="8">
        <f>SUMIFS(L5:L74,C5:C74,"JULY",H5:H74,"CLERK OFFICE")</f>
        <v>0</v>
      </c>
      <c r="W6" s="8">
        <f>SUMIFS(L5:L74,C5:C74,"AUGUST",H5:H74,"CLERK OFFICE")</f>
        <v>0</v>
      </c>
      <c r="X6" s="8">
        <f>SUMIFS(L5:L74,C5:C74,"SEPTEMBER",H5:H74,"CLERK OFFICE")</f>
        <v>0</v>
      </c>
      <c r="Y6" s="8">
        <f>SUMIFS(L5:L74,C5:C74,"OCTOBER",H5:H74,"CLERK OFFICE")</f>
        <v>48.15</v>
      </c>
      <c r="Z6" s="8">
        <f>SUMIFS(L5:L74,C5:C74,"NOVEMBER",H5:H74,"CLERK OFFICE")</f>
        <v>0</v>
      </c>
      <c r="AA6" s="8">
        <f>SUMIFS(L5:L74,C5:C74,"DECEMBER",H5:H74,"CLERK OFFICE")</f>
        <v>0</v>
      </c>
      <c r="AB6" s="8">
        <f>SUMIFS(L5:L74,C5:C74,"JANUARY",H5:H74,"CLERK OFFICE")</f>
        <v>0</v>
      </c>
      <c r="AC6" s="8">
        <f>SUMIFS(L5:L74,C5:C74,"FEBRUARY",H5:H74,"CLERK OFFICE")</f>
        <v>0</v>
      </c>
      <c r="AD6" s="8">
        <f>SUMIFS(L5:L74,C5:C74,"MARCH",H5:H74,"CLERK OFFICE")</f>
        <v>0</v>
      </c>
      <c r="AE6" s="36">
        <f t="shared" ref="AE6:AE33" si="4">SUM(S6:AD6)</f>
        <v>144.44999999999999</v>
      </c>
      <c r="AF6" s="36">
        <f>BK6</f>
        <v>197.60760000000002</v>
      </c>
      <c r="AG6" s="36">
        <f>SUM(AF6-AE6)</f>
        <v>53.157600000000031</v>
      </c>
      <c r="AI6" s="40" t="s">
        <v>26</v>
      </c>
      <c r="AJ6" s="8">
        <f>SUMIFS(AC5:AC45,T5:T45,"APRIL",Y5:Y45,"CLERK OFFICE")</f>
        <v>0</v>
      </c>
      <c r="AK6" s="8">
        <f>SUMIFS(AC5:AC45,T5:T45,"MAY",Y5:Y45,"CLERK OFFICE")</f>
        <v>0</v>
      </c>
      <c r="AL6" s="8">
        <v>45</v>
      </c>
      <c r="AM6" s="8">
        <f>SUMIFS(AC5:AC45,T5:T45,"JULY",Y5:Y45,"CLERK OFFICE")</f>
        <v>0</v>
      </c>
      <c r="AN6" s="8">
        <f>SUMIFS(AC5:AC45,T5:T45,"AUGUST",Y5:Y45,"CLERK OFFICE")</f>
        <v>0</v>
      </c>
      <c r="AO6" s="8">
        <v>45</v>
      </c>
      <c r="AP6" s="8">
        <f>SUMIFS(AC5:AC45,T5:T45,"OCTOBER",Y5:Y45,"CLERK OFFICE")</f>
        <v>0</v>
      </c>
      <c r="AQ6" s="8">
        <f>SUMIFS(AC5:AC45,T5:T45,"NOVEMBER",Y5:Y45,"CLERK OFFICE")</f>
        <v>0</v>
      </c>
      <c r="AR6" s="8">
        <v>45</v>
      </c>
      <c r="AS6" s="8">
        <f>SUMIFS(AC5:AC45,T5:T45,"JANUARY",Y5:Y45,"CLERK OFFICE")</f>
        <v>0</v>
      </c>
      <c r="AT6" s="8">
        <f>SUMIFS(AC5:AC45,T5:T45,"FEBRUARY",Y5:Y45,"CLERK OFFICE")</f>
        <v>0</v>
      </c>
      <c r="AU6" s="8">
        <v>45</v>
      </c>
      <c r="AV6" s="36">
        <f t="shared" ref="AV6:AV7" si="5">SUM(AJ6:AU6)</f>
        <v>180</v>
      </c>
      <c r="AX6" s="29" t="s">
        <v>26</v>
      </c>
      <c r="AY6" s="8">
        <f>$BK6/12</f>
        <v>16.467300000000002</v>
      </c>
      <c r="AZ6" s="8">
        <f t="shared" ref="AZ6:BJ7" si="6">$BK6/12</f>
        <v>16.467300000000002</v>
      </c>
      <c r="BA6" s="8">
        <f t="shared" si="6"/>
        <v>16.467300000000002</v>
      </c>
      <c r="BB6" s="8">
        <f t="shared" si="6"/>
        <v>16.467300000000002</v>
      </c>
      <c r="BC6" s="8">
        <f t="shared" si="6"/>
        <v>16.467300000000002</v>
      </c>
      <c r="BD6" s="8">
        <f t="shared" si="6"/>
        <v>16.467300000000002</v>
      </c>
      <c r="BE6" s="8">
        <f t="shared" si="6"/>
        <v>16.467300000000002</v>
      </c>
      <c r="BF6" s="8">
        <f t="shared" si="6"/>
        <v>16.467300000000002</v>
      </c>
      <c r="BG6" s="8">
        <f t="shared" si="6"/>
        <v>16.467300000000002</v>
      </c>
      <c r="BH6" s="8">
        <f t="shared" si="6"/>
        <v>16.467300000000002</v>
      </c>
      <c r="BI6" s="8">
        <f t="shared" si="6"/>
        <v>16.467300000000002</v>
      </c>
      <c r="BJ6" s="8">
        <f t="shared" si="6"/>
        <v>16.467300000000002</v>
      </c>
      <c r="BK6" s="96">
        <f>(12*16.05)*BL2</f>
        <v>197.60760000000002</v>
      </c>
      <c r="BL6" s="5" t="s">
        <v>238</v>
      </c>
    </row>
    <row r="7" spans="1:65" x14ac:dyDescent="0.3">
      <c r="A7" s="2">
        <v>3</v>
      </c>
      <c r="B7" s="3">
        <v>45393</v>
      </c>
      <c r="C7" s="3" t="s">
        <v>12</v>
      </c>
      <c r="D7" s="7" t="s">
        <v>77</v>
      </c>
      <c r="E7" s="1"/>
      <c r="F7" s="2"/>
      <c r="G7" s="8">
        <v>300</v>
      </c>
      <c r="H7" s="42" t="s">
        <v>31</v>
      </c>
      <c r="I7" s="10">
        <v>300</v>
      </c>
      <c r="J7" s="10"/>
      <c r="K7" s="11"/>
      <c r="L7" s="127">
        <f t="shared" si="0"/>
        <v>300</v>
      </c>
      <c r="M7" s="2" t="s">
        <v>78</v>
      </c>
      <c r="N7" s="1" t="s">
        <v>79</v>
      </c>
      <c r="O7" s="8">
        <f t="shared" si="3"/>
        <v>300</v>
      </c>
      <c r="P7" s="110">
        <v>45393</v>
      </c>
      <c r="Q7" s="9"/>
      <c r="R7" s="43" t="s">
        <v>27</v>
      </c>
      <c r="S7" s="8">
        <f>SUMIFS(L5:L74,C5:C74,"APRIL",H5:H74,"CLERK EXPENSES")</f>
        <v>160.04</v>
      </c>
      <c r="T7" s="8">
        <f>SUMIFS(L5:L74,C5:C74,"MAY",H5:H74,"CLERK EXPENSES")</f>
        <v>29.2</v>
      </c>
      <c r="U7" s="8">
        <f>SUMIFS(L5:L74,C5:C74,"JUNE",H5:H74,"CLERK EXPENSES")</f>
        <v>0</v>
      </c>
      <c r="V7" s="8">
        <f>SUMIFS(L5:L74,C5:C74,"JULY",H5:H74,"CLERK EXPENSES")</f>
        <v>23.270000000000003</v>
      </c>
      <c r="W7" s="8">
        <f>SUMIFS(L5:L74,C5:C74,"AUGUST",H5:H74,"CLERK EXPENSES")</f>
        <v>34.200000000000003</v>
      </c>
      <c r="X7" s="8">
        <f>SUMIFS(L5:L74,C5:C74,"SEPTEMBER",H5:H74,"CLERK EXPENSES")</f>
        <v>35</v>
      </c>
      <c r="Y7" s="8">
        <f>SUMIFS(L5:L74,C5:C74,"OCTOBER",H5:H74,"CLERK EXPENSES")</f>
        <v>0</v>
      </c>
      <c r="Z7" s="8">
        <f>SUMIFS(L5:L74,C5:C74,"NOVEMBER",H5:H74,"CLERK EXPENSES")</f>
        <v>0</v>
      </c>
      <c r="AA7" s="8">
        <f>SUMIFS(L5:L74,C5:C74,"DECEMBER",H5:H74,"CLERK EXPENSES")</f>
        <v>0</v>
      </c>
      <c r="AB7" s="8">
        <f>SUMIFS(L5:L74,C5:C74,"JANUARY",H5:H74,"CLERK EXPENSES")</f>
        <v>48.15</v>
      </c>
      <c r="AC7" s="8">
        <f>SUMIFS(L5:L74,C5:C74,"FEBRUARY",H5:H74,"CLERK EXPENSES")</f>
        <v>0</v>
      </c>
      <c r="AD7" s="8">
        <f>SUMIFS(L5:L74,C5:C74,"MARCH",H5:H74,"CLERK EXPENSES")</f>
        <v>0</v>
      </c>
      <c r="AE7" s="36">
        <f t="shared" si="4"/>
        <v>329.85999999999996</v>
      </c>
      <c r="AF7" s="36">
        <f>BK7</f>
        <v>200</v>
      </c>
      <c r="AG7" s="36">
        <f>SUM(AF7-AE7)</f>
        <v>-129.85999999999996</v>
      </c>
      <c r="AI7" s="40" t="s">
        <v>27</v>
      </c>
      <c r="AJ7" s="8">
        <f>SUM(680/12)</f>
        <v>56.666666666666664</v>
      </c>
      <c r="AK7" s="8">
        <f t="shared" ref="AK7:AU7" si="7">SUM(680/12)</f>
        <v>56.666666666666664</v>
      </c>
      <c r="AL7" s="8">
        <f t="shared" si="7"/>
        <v>56.666666666666664</v>
      </c>
      <c r="AM7" s="8">
        <f t="shared" si="7"/>
        <v>56.666666666666664</v>
      </c>
      <c r="AN7" s="8">
        <f t="shared" si="7"/>
        <v>56.666666666666664</v>
      </c>
      <c r="AO7" s="8">
        <f t="shared" si="7"/>
        <v>56.666666666666664</v>
      </c>
      <c r="AP7" s="8">
        <f t="shared" si="7"/>
        <v>56.666666666666664</v>
      </c>
      <c r="AQ7" s="8">
        <f t="shared" si="7"/>
        <v>56.666666666666664</v>
      </c>
      <c r="AR7" s="8">
        <f t="shared" si="7"/>
        <v>56.666666666666664</v>
      </c>
      <c r="AS7" s="8">
        <f t="shared" si="7"/>
        <v>56.666666666666664</v>
      </c>
      <c r="AT7" s="8">
        <f t="shared" si="7"/>
        <v>56.666666666666664</v>
      </c>
      <c r="AU7" s="8">
        <f t="shared" si="7"/>
        <v>56.666666666666664</v>
      </c>
      <c r="AV7" s="36">
        <f t="shared" si="5"/>
        <v>680</v>
      </c>
      <c r="AX7" s="29" t="s">
        <v>27</v>
      </c>
      <c r="AY7" s="8">
        <f>$BK7/12</f>
        <v>16.666666666666668</v>
      </c>
      <c r="AZ7" s="8">
        <f t="shared" si="6"/>
        <v>16.666666666666668</v>
      </c>
      <c r="BA7" s="8">
        <f t="shared" si="6"/>
        <v>16.666666666666668</v>
      </c>
      <c r="BB7" s="8">
        <f t="shared" si="6"/>
        <v>16.666666666666668</v>
      </c>
      <c r="BC7" s="8">
        <f t="shared" si="6"/>
        <v>16.666666666666668</v>
      </c>
      <c r="BD7" s="8">
        <f t="shared" si="6"/>
        <v>16.666666666666668</v>
      </c>
      <c r="BE7" s="8">
        <f t="shared" si="6"/>
        <v>16.666666666666668</v>
      </c>
      <c r="BF7" s="8">
        <f t="shared" si="6"/>
        <v>16.666666666666668</v>
      </c>
      <c r="BG7" s="8">
        <f t="shared" si="6"/>
        <v>16.666666666666668</v>
      </c>
      <c r="BH7" s="8">
        <f t="shared" si="6"/>
        <v>16.666666666666668</v>
      </c>
      <c r="BI7" s="8">
        <f t="shared" si="6"/>
        <v>16.666666666666668</v>
      </c>
      <c r="BJ7" s="8">
        <f t="shared" si="6"/>
        <v>16.666666666666668</v>
      </c>
      <c r="BK7" s="96">
        <v>200</v>
      </c>
      <c r="BL7" s="5" t="s">
        <v>259</v>
      </c>
    </row>
    <row r="8" spans="1:65" x14ac:dyDescent="0.3">
      <c r="A8" s="2">
        <v>4</v>
      </c>
      <c r="B8" s="3">
        <v>45393</v>
      </c>
      <c r="C8" s="3" t="s">
        <v>12</v>
      </c>
      <c r="D8" s="1" t="s">
        <v>80</v>
      </c>
      <c r="E8" s="1" t="s">
        <v>85</v>
      </c>
      <c r="F8" s="2"/>
      <c r="G8" s="8">
        <v>1162.6099999999999</v>
      </c>
      <c r="H8" s="42" t="s">
        <v>50</v>
      </c>
      <c r="I8" s="10">
        <v>1107.25</v>
      </c>
      <c r="J8" s="10"/>
      <c r="K8" s="11">
        <v>55.36</v>
      </c>
      <c r="L8" s="127">
        <f t="shared" si="0"/>
        <v>1162.6099999999999</v>
      </c>
      <c r="M8" s="2" t="s">
        <v>81</v>
      </c>
      <c r="N8" s="1" t="s">
        <v>82</v>
      </c>
      <c r="O8" s="8">
        <f t="shared" si="3"/>
        <v>1162.6099999999999</v>
      </c>
      <c r="P8" s="110">
        <v>45393</v>
      </c>
      <c r="Q8" s="9"/>
      <c r="R8" s="43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36"/>
      <c r="AF8" s="36"/>
      <c r="AG8" s="36"/>
      <c r="AI8" s="40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36"/>
      <c r="AX8" s="29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96"/>
    </row>
    <row r="9" spans="1:65" x14ac:dyDescent="0.3">
      <c r="A9" s="2">
        <v>5</v>
      </c>
      <c r="B9" s="3">
        <v>45393</v>
      </c>
      <c r="C9" s="3" t="s">
        <v>12</v>
      </c>
      <c r="D9" s="1" t="s">
        <v>83</v>
      </c>
      <c r="E9" s="1" t="s">
        <v>84</v>
      </c>
      <c r="F9" s="8"/>
      <c r="G9" s="8">
        <v>24</v>
      </c>
      <c r="H9" s="42" t="s">
        <v>106</v>
      </c>
      <c r="I9" s="10">
        <v>24</v>
      </c>
      <c r="J9" s="10"/>
      <c r="K9" s="11"/>
      <c r="L9" s="127">
        <f t="shared" si="0"/>
        <v>24</v>
      </c>
      <c r="M9" s="2" t="s">
        <v>86</v>
      </c>
      <c r="N9" s="1" t="s">
        <v>87</v>
      </c>
      <c r="O9" s="8">
        <f t="shared" si="3"/>
        <v>24</v>
      </c>
      <c r="P9" s="110">
        <v>45393</v>
      </c>
      <c r="Q9" s="9"/>
      <c r="R9" s="43" t="s">
        <v>104</v>
      </c>
      <c r="S9" s="8">
        <f>SUMIFS(L5:L74,C5:C74,"APRIL",H5:H74,"PAYROLL")</f>
        <v>0</v>
      </c>
      <c r="T9" s="8">
        <f>SUMIFS(L5:L74,C5:C74,"MAY",H5:H74,"PAYROLL")</f>
        <v>25.2</v>
      </c>
      <c r="U9" s="8">
        <f>SUMIFS(L5:L74,C5:C74,"JUNE",H5:H74,"PAYROLL")</f>
        <v>0</v>
      </c>
      <c r="V9" s="8">
        <f>SUMIFS(L5:L74,C5:C74,"JULY",H5:H74,"PAYROLL")</f>
        <v>0</v>
      </c>
      <c r="W9" s="8">
        <f>SUMIFS(L5:L74,C5:C74,"AUGUST",H5:H74,"PAYROLL")</f>
        <v>0</v>
      </c>
      <c r="X9" s="8">
        <f>SUMIFS(L5:L74,C5:C74,"SEPTEMBER",H5:H74,"PAYROLL")</f>
        <v>0</v>
      </c>
      <c r="Y9" s="8">
        <f>SUMIFS(L5:L74,C5:C74,"OCTOBER",H5:H74,"PAYROLL")</f>
        <v>50.4</v>
      </c>
      <c r="Z9" s="8">
        <f>SUMIFS(L5:L74,C5:C74,"NOVEMBER",H5:H74,"PAYROLL")</f>
        <v>0</v>
      </c>
      <c r="AA9" s="8">
        <f>SUMIFS(L5:L74,C5:C74,"DECEMBER",H5:H74,"PAYROLL")</f>
        <v>0</v>
      </c>
      <c r="AB9" s="8">
        <f>SUMIFS(L5:L74,C5:C74,"JANUARY",H5:H74,"PAYROLL")</f>
        <v>0</v>
      </c>
      <c r="AC9" s="8">
        <f>SUMIFS(L5:L74,C5:C74,"FEBRUARY",H5:H74,"PAYROLL")</f>
        <v>0</v>
      </c>
      <c r="AD9" s="8">
        <f>SUMIFS(L5:L74,C5:C74,"MARCH",H5:H74,"PAYROLL")</f>
        <v>0</v>
      </c>
      <c r="AE9" s="36">
        <f>SUM(S9:AD9)</f>
        <v>75.599999999999994</v>
      </c>
      <c r="AF9" s="36">
        <f>BK9</f>
        <v>100</v>
      </c>
      <c r="AG9" s="36">
        <f>SUM(AF9-AE9)</f>
        <v>24.400000000000006</v>
      </c>
      <c r="AI9" s="40" t="s">
        <v>28</v>
      </c>
      <c r="AJ9" s="8">
        <v>5</v>
      </c>
      <c r="AK9" s="8">
        <v>5</v>
      </c>
      <c r="AL9" s="8">
        <v>5</v>
      </c>
      <c r="AM9" s="8">
        <v>5</v>
      </c>
      <c r="AN9" s="8">
        <v>5</v>
      </c>
      <c r="AO9" s="8">
        <v>5</v>
      </c>
      <c r="AP9" s="8">
        <v>5</v>
      </c>
      <c r="AQ9" s="8">
        <v>5</v>
      </c>
      <c r="AR9" s="8">
        <v>5</v>
      </c>
      <c r="AS9" s="8">
        <v>5</v>
      </c>
      <c r="AT9" s="8">
        <v>5</v>
      </c>
      <c r="AU9" s="8">
        <v>5</v>
      </c>
      <c r="AV9" s="36">
        <f>SUM(AJ9:AU9)</f>
        <v>60</v>
      </c>
      <c r="AX9" s="29" t="s">
        <v>28</v>
      </c>
      <c r="AY9" s="8">
        <f>$BK9/12</f>
        <v>8.3333333333333339</v>
      </c>
      <c r="AZ9" s="8">
        <f t="shared" ref="AZ9:BJ9" si="8">$BK9/12</f>
        <v>8.3333333333333339</v>
      </c>
      <c r="BA9" s="8">
        <f t="shared" si="8"/>
        <v>8.3333333333333339</v>
      </c>
      <c r="BB9" s="8">
        <f t="shared" si="8"/>
        <v>8.3333333333333339</v>
      </c>
      <c r="BC9" s="8">
        <f t="shared" si="8"/>
        <v>8.3333333333333339</v>
      </c>
      <c r="BD9" s="8">
        <f t="shared" si="8"/>
        <v>8.3333333333333339</v>
      </c>
      <c r="BE9" s="8">
        <f t="shared" si="8"/>
        <v>8.3333333333333339</v>
      </c>
      <c r="BF9" s="8">
        <f t="shared" si="8"/>
        <v>8.3333333333333339</v>
      </c>
      <c r="BG9" s="8">
        <f t="shared" si="8"/>
        <v>8.3333333333333339</v>
      </c>
      <c r="BH9" s="8">
        <f t="shared" si="8"/>
        <v>8.3333333333333339</v>
      </c>
      <c r="BI9" s="8">
        <f t="shared" si="8"/>
        <v>8.3333333333333339</v>
      </c>
      <c r="BJ9" s="8">
        <f t="shared" si="8"/>
        <v>8.3333333333333339</v>
      </c>
      <c r="BK9" s="96">
        <v>100</v>
      </c>
      <c r="BL9" s="5" t="s">
        <v>260</v>
      </c>
    </row>
    <row r="10" spans="1:65" x14ac:dyDescent="0.3">
      <c r="A10" s="2">
        <v>6</v>
      </c>
      <c r="B10" s="3">
        <v>45393</v>
      </c>
      <c r="C10" s="3" t="s">
        <v>12</v>
      </c>
      <c r="D10" s="7" t="s">
        <v>88</v>
      </c>
      <c r="E10" s="1"/>
      <c r="F10" s="2"/>
      <c r="G10" s="8">
        <v>350</v>
      </c>
      <c r="H10" s="42" t="s">
        <v>42</v>
      </c>
      <c r="I10" s="10">
        <v>350</v>
      </c>
      <c r="J10" s="10"/>
      <c r="K10" s="11"/>
      <c r="L10" s="127">
        <v>350</v>
      </c>
      <c r="M10" s="2" t="s">
        <v>89</v>
      </c>
      <c r="N10" s="1" t="s">
        <v>90</v>
      </c>
      <c r="O10" s="8">
        <f t="shared" si="3"/>
        <v>350</v>
      </c>
      <c r="P10" s="110">
        <v>45393</v>
      </c>
      <c r="Q10" s="9"/>
      <c r="R10" s="43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36"/>
      <c r="AF10" s="36"/>
      <c r="AG10" s="36"/>
      <c r="AI10" s="40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36"/>
      <c r="AX10" s="29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96"/>
    </row>
    <row r="11" spans="1:65" x14ac:dyDescent="0.3">
      <c r="A11" s="2">
        <v>7</v>
      </c>
      <c r="B11" s="3">
        <v>45393</v>
      </c>
      <c r="C11" s="3" t="s">
        <v>12</v>
      </c>
      <c r="D11" s="7" t="s">
        <v>72</v>
      </c>
      <c r="E11" s="1"/>
      <c r="F11" s="8"/>
      <c r="G11" s="8">
        <v>37.9</v>
      </c>
      <c r="H11" s="42" t="s">
        <v>31</v>
      </c>
      <c r="I11" s="10">
        <v>31.58</v>
      </c>
      <c r="J11" s="10"/>
      <c r="K11" s="11">
        <v>6.32</v>
      </c>
      <c r="L11" s="127">
        <f t="shared" si="0"/>
        <v>37.9</v>
      </c>
      <c r="M11" s="2" t="s">
        <v>92</v>
      </c>
      <c r="N11" s="1" t="s">
        <v>93</v>
      </c>
      <c r="O11" s="8">
        <f t="shared" si="3"/>
        <v>37.9</v>
      </c>
      <c r="P11" s="110">
        <v>45393</v>
      </c>
      <c r="Q11" s="9"/>
      <c r="R11" s="43" t="s">
        <v>29</v>
      </c>
      <c r="S11" s="8">
        <f>SUMIFS(L5:L74,C5:C74,"APRIL",H5:H74,"AUDIT")</f>
        <v>0</v>
      </c>
      <c r="T11" s="8">
        <f>SUMIFS(L5:L74,C5:C74,"MAY",H5:H74,"AUDIT")</f>
        <v>0</v>
      </c>
      <c r="U11" s="8">
        <f>SUMIFS(L5:L74,C5:C74,"JUNE",H5:H74,"AUDIT")</f>
        <v>240</v>
      </c>
      <c r="V11" s="8">
        <f>SUMIFS(L5:L74,C5:C74,"JULY",H5:H74,"AUDIT")</f>
        <v>0</v>
      </c>
      <c r="W11" s="8">
        <f>SUMIFS(L5:L74,C5:C74,"AUGUST",H5:H74,"AUDIT")</f>
        <v>0</v>
      </c>
      <c r="X11" s="8">
        <f>SUMIFS(L5:L74,C5:C74,"SEPTEMBER",H5:H74,"AUDIT")</f>
        <v>0</v>
      </c>
      <c r="Y11" s="8">
        <f>SUMIFS(L5:L74,C5:C74,"OCTOBER",H5:H74,"AUDIT")</f>
        <v>0</v>
      </c>
      <c r="Z11" s="8">
        <f>SUMIFS(L5:L74,C5:C74,"NOVEMBER",H5:H74,"AUDIT")</f>
        <v>0</v>
      </c>
      <c r="AA11" s="8">
        <f>SUMIFS(L5:L74,C5:C74,"DECEMBER",H5:H74,"AUDIT")</f>
        <v>0</v>
      </c>
      <c r="AB11" s="8">
        <f>SUMIFS(L5:L74,C5:C74,"JANUARY",H5:H74,"AUDIT")</f>
        <v>0</v>
      </c>
      <c r="AC11" s="8">
        <f>SUMIFS(L5:L74,C5:C74,"FEBRUARY",H5:H74,"AUDIT")</f>
        <v>0</v>
      </c>
      <c r="AD11" s="8">
        <f>SUMIFS(L5:L74,C5:C74,"MARCH",H5:H74,"AUDIT")</f>
        <v>0</v>
      </c>
      <c r="AE11" s="36">
        <f t="shared" si="4"/>
        <v>240</v>
      </c>
      <c r="AF11" s="36">
        <f>BK11</f>
        <v>184.68</v>
      </c>
      <c r="AG11" s="36">
        <f>SUM(AF11-AE11)</f>
        <v>-55.319999999999993</v>
      </c>
      <c r="AI11" s="40" t="s">
        <v>29</v>
      </c>
      <c r="AJ11" s="8">
        <f>SUMIFS(AC5:AC45,T5:T45,"APRIL",Y5:Y45,"AUDIT")</f>
        <v>0</v>
      </c>
      <c r="AK11" s="8">
        <f>SUMIFS(AC5:AC45,T5:T45,"MAY",Y5:Y45,"AUDIT")</f>
        <v>0</v>
      </c>
      <c r="AL11" s="8">
        <f>SUMIFS(AC5:AC45,T5:T45,"JUNE",Y5:Y45,"AUDIT")</f>
        <v>0</v>
      </c>
      <c r="AM11" s="8">
        <f>SUMIFS(AC5:AC45,T5:T45,"JULY",Y5:Y45,"AUDIT")</f>
        <v>0</v>
      </c>
      <c r="AN11" s="8">
        <f>SUMIFS(AC5:AC45,T5:T45,"AUGUST",Y5:Y45,"AUDIT")</f>
        <v>0</v>
      </c>
      <c r="AO11" s="8">
        <v>100</v>
      </c>
      <c r="AP11" s="8">
        <f>SUMIFS(AC5:AC45,T5:T45,"OCTOBER",Y5:Y45,"AUDIT")</f>
        <v>0</v>
      </c>
      <c r="AQ11" s="8">
        <f>SUMIFS(AC5:AC45,T5:T45,"NOVEMBER",Y5:Y45,"AUDIT")</f>
        <v>0</v>
      </c>
      <c r="AR11" s="8">
        <f>SUMIFS(AC5:AC45,T5:T45,"DECEMBER",Y5:Y45,"AUDIT")</f>
        <v>0</v>
      </c>
      <c r="AS11" s="8">
        <f>SUMIFS(AC5:AC45,T5:T45,"JANUARY",Y5:Y45,"AUDIT")</f>
        <v>0</v>
      </c>
      <c r="AT11" s="8">
        <f>SUMIFS(AC5:AC45,T5:T45,"FEBRUARY",Y5:Y45,"AUDIT")</f>
        <v>0</v>
      </c>
      <c r="AU11" s="8">
        <f>SUMIFS(AC5:AC45,T5:T45,"MARCH",Y5:Y45,"AUDIT")</f>
        <v>0</v>
      </c>
      <c r="AV11" s="36">
        <f t="shared" ref="AV11:AV12" si="9">SUM(AJ11:AU11)</f>
        <v>100</v>
      </c>
      <c r="AX11" s="29" t="s">
        <v>29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f>BK11/2</f>
        <v>92.34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f>BK11/2</f>
        <v>92.34</v>
      </c>
      <c r="BK11" s="96">
        <f>180*BL2</f>
        <v>184.68</v>
      </c>
      <c r="BL11" s="5" t="s">
        <v>238</v>
      </c>
    </row>
    <row r="12" spans="1:65" x14ac:dyDescent="0.3">
      <c r="A12" s="2">
        <v>8</v>
      </c>
      <c r="B12" s="3">
        <v>45393</v>
      </c>
      <c r="C12" s="3" t="s">
        <v>12</v>
      </c>
      <c r="D12" s="7" t="s">
        <v>70</v>
      </c>
      <c r="E12" s="1"/>
      <c r="F12" s="2"/>
      <c r="G12" s="8">
        <v>48.15</v>
      </c>
      <c r="H12" s="42" t="s">
        <v>26</v>
      </c>
      <c r="I12" s="10">
        <v>48.15</v>
      </c>
      <c r="J12" s="10"/>
      <c r="K12" s="11"/>
      <c r="L12" s="127">
        <f t="shared" si="0"/>
        <v>48.15</v>
      </c>
      <c r="M12" s="2" t="s">
        <v>94</v>
      </c>
      <c r="N12" s="1" t="s">
        <v>95</v>
      </c>
      <c r="O12" s="8">
        <f t="shared" si="3"/>
        <v>48.15</v>
      </c>
      <c r="P12" s="110">
        <v>45393</v>
      </c>
      <c r="Q12" s="9"/>
      <c r="R12" s="43" t="s">
        <v>30</v>
      </c>
      <c r="S12" s="8">
        <f>SUMIFS(L5:L74,C5:C74,"APRIL",H5:H74,"INSURANCE")</f>
        <v>0</v>
      </c>
      <c r="T12" s="8">
        <f>SUMIFS(L5:L74,C5:C74,"MAY",H5:H74,"INSURANCE")</f>
        <v>570</v>
      </c>
      <c r="U12" s="8">
        <f>SUMIFS(L5:L74,C5:C74,"JUNE",H5:H74,"INSURANCE")</f>
        <v>0</v>
      </c>
      <c r="V12" s="8">
        <f>SUMIFS(L5:L74,C5:C74,"JULY",H5:H74,"INSURANCE")</f>
        <v>0</v>
      </c>
      <c r="W12" s="8">
        <f>SUMIFS(L5:L74,C5:C74,"AUGUST",H5:H74,"INSURANCE")</f>
        <v>0</v>
      </c>
      <c r="X12" s="8">
        <f>SUMIFS(L5:L74,C5:C74,"SEPTEMBER",H5:H74,"INSURANCE")</f>
        <v>0</v>
      </c>
      <c r="Y12" s="8">
        <f>SUMIFS(L5:L74,C5:C74,"OCTOBER",H5:H74,"INSURANCE")</f>
        <v>0</v>
      </c>
      <c r="Z12" s="8">
        <f>SUMIFS(L5:L74,C5:C74,"NOVEMBER",H5:H74,"INSURANCE")</f>
        <v>0</v>
      </c>
      <c r="AA12" s="8">
        <f>SUMIFS(L5:L74,C5:C74,"DECEMBER",H5:H74,"INSURANCE")</f>
        <v>0</v>
      </c>
      <c r="AB12" s="8">
        <f>SUMIFS(L5:L74,C5:C74,"JANUARY",H5:H74,"INSURANCE")</f>
        <v>0</v>
      </c>
      <c r="AC12" s="8">
        <f>SUMIFS(L5:L74,C5:C74,"FEBRUARY",H5:H74,"INSURANCE")</f>
        <v>0</v>
      </c>
      <c r="AD12" s="8">
        <f>SUMIFS(L5:L74,C5:C74,"MARCH",H5:H74,"INSURANCE")</f>
        <v>0</v>
      </c>
      <c r="AE12" s="36">
        <f t="shared" si="4"/>
        <v>570</v>
      </c>
      <c r="AF12" s="36">
        <f>BK12</f>
        <v>627</v>
      </c>
      <c r="AG12" s="36">
        <f>SUM(AF12-AE12)</f>
        <v>57</v>
      </c>
      <c r="AI12" s="40" t="s">
        <v>30</v>
      </c>
      <c r="AJ12" s="8">
        <f>SUMIFS(AC5:AC45,T5:T45,"APRIL",Y5:Y45,"INSURANCE")</f>
        <v>0</v>
      </c>
      <c r="AK12" s="8">
        <f>SUMIFS(AC5:AC45,T5:T45,"MAY",Y5:Y45,"INSURANCE")</f>
        <v>0</v>
      </c>
      <c r="AL12" s="8">
        <v>677.04</v>
      </c>
      <c r="AM12" s="8">
        <f>SUMIFS(AC5:AC45,T5:T45,"JULY",Y5:Y45,"INSURANCE")</f>
        <v>0</v>
      </c>
      <c r="AN12" s="8">
        <f>SUMIFS(AC5:AC45,T5:T45,"AUGUST",Y5:Y45,"INSURANCE")</f>
        <v>0</v>
      </c>
      <c r="AO12" s="8">
        <f>SUMIFS(AC5:AC45,T5:T45,"SEPTEMBER",Y5:Y45,"INSURANCE")</f>
        <v>0</v>
      </c>
      <c r="AP12" s="8">
        <f>SUMIFS(AC5:AC45,T5:T45,"OCTOBER",Y5:Y45,"INSURANCE")</f>
        <v>0</v>
      </c>
      <c r="AQ12" s="8">
        <f>SUMIFS(AC5:AC45,T5:T45,"NOVEMBER",Y5:Y45,"INSURANCE")</f>
        <v>0</v>
      </c>
      <c r="AR12" s="8">
        <f>SUMIFS(AC5:AC45,T5:T45,"DECEMBER",Y5:Y45,"INSURANCE")</f>
        <v>0</v>
      </c>
      <c r="AS12" s="8">
        <f>SUMIFS(AC5:AC45,T5:T45,"JANUARY",Y5:Y45,"INSURANCE")</f>
        <v>0</v>
      </c>
      <c r="AT12" s="8">
        <f>SUMIFS(AC5:AC45,T5:T45,"FEBRUARY",Y5:Y45,"INSURANCE")</f>
        <v>0</v>
      </c>
      <c r="AU12" s="8">
        <f>SUMIFS(AC5:AC45,T5:T45,"MARCH",Y5:Y45,"INSURANCE")</f>
        <v>0</v>
      </c>
      <c r="AV12" s="36">
        <f t="shared" si="9"/>
        <v>677.04</v>
      </c>
      <c r="AX12" s="29" t="s">
        <v>30</v>
      </c>
      <c r="AY12" s="8">
        <v>0</v>
      </c>
      <c r="AZ12" s="8">
        <v>0</v>
      </c>
      <c r="BA12" s="8">
        <v>0</v>
      </c>
      <c r="BB12" s="8">
        <f>BK12</f>
        <v>627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96">
        <f>570*1.1</f>
        <v>627</v>
      </c>
      <c r="BL12" s="5" t="s">
        <v>239</v>
      </c>
    </row>
    <row r="13" spans="1:65" x14ac:dyDescent="0.3">
      <c r="A13" s="2">
        <v>9</v>
      </c>
      <c r="B13" s="3">
        <v>45428</v>
      </c>
      <c r="C13" s="3" t="s">
        <v>13</v>
      </c>
      <c r="D13" s="1" t="s">
        <v>96</v>
      </c>
      <c r="E13" s="1"/>
      <c r="F13" s="2"/>
      <c r="G13" s="8">
        <v>25.2</v>
      </c>
      <c r="H13" s="42" t="s">
        <v>104</v>
      </c>
      <c r="I13" s="10">
        <v>21</v>
      </c>
      <c r="J13" s="10"/>
      <c r="K13" s="11">
        <v>4.2</v>
      </c>
      <c r="L13" s="127">
        <f t="shared" si="0"/>
        <v>25.2</v>
      </c>
      <c r="M13" s="2" t="s">
        <v>97</v>
      </c>
      <c r="N13" s="1" t="s">
        <v>98</v>
      </c>
      <c r="O13" s="8">
        <f t="shared" si="3"/>
        <v>25.2</v>
      </c>
      <c r="P13" s="110">
        <v>45428</v>
      </c>
      <c r="Q13" s="9"/>
      <c r="R13" s="43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36"/>
      <c r="AF13" s="36"/>
      <c r="AG13" s="36"/>
      <c r="AI13" s="40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36"/>
      <c r="AX13" s="29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96"/>
    </row>
    <row r="14" spans="1:65" x14ac:dyDescent="0.3">
      <c r="A14" s="2">
        <v>10</v>
      </c>
      <c r="B14" s="3">
        <v>45428</v>
      </c>
      <c r="C14" s="3" t="s">
        <v>13</v>
      </c>
      <c r="D14" s="7" t="s">
        <v>99</v>
      </c>
      <c r="E14" s="1">
        <v>1268</v>
      </c>
      <c r="F14" s="2"/>
      <c r="G14" s="8">
        <v>40</v>
      </c>
      <c r="H14" s="42" t="s">
        <v>31</v>
      </c>
      <c r="I14" s="10">
        <v>40</v>
      </c>
      <c r="J14" s="10"/>
      <c r="K14" s="11"/>
      <c r="L14" s="127">
        <f t="shared" si="0"/>
        <v>40</v>
      </c>
      <c r="M14" s="2" t="s">
        <v>100</v>
      </c>
      <c r="N14" s="1" t="s">
        <v>101</v>
      </c>
      <c r="O14" s="8">
        <f t="shared" si="3"/>
        <v>40</v>
      </c>
      <c r="P14" s="110">
        <v>45428</v>
      </c>
      <c r="Q14" s="9"/>
      <c r="R14" s="43" t="s">
        <v>50</v>
      </c>
      <c r="S14" s="8">
        <f>SUMIFS(L5:L74,C5:C74,"APRIL",H5:H74,"E-ON SUPPLY -STREETLIGHTS")</f>
        <v>1162.6099999999999</v>
      </c>
      <c r="T14" s="8">
        <f>SUMIFS(L5:L74,C5:C74,"MAY",H5:H74,"E-ON SUPPLY -STREETLIGHTS")</f>
        <v>0</v>
      </c>
      <c r="U14" s="8">
        <f>SUMIFS(L5:L74,C5:C74,"JUNE",H5:H74,"E-ON SUPPLY -STREETLIGHTS")</f>
        <v>0</v>
      </c>
      <c r="V14" s="8">
        <f>SUMIFS(L5:L74,C5:C74,"JULY",H5:H74,"E-ON SUPPLY -STREETLIGHTS")</f>
        <v>917.63</v>
      </c>
      <c r="W14" s="8">
        <f>SUMIFS(L5:L74,C5:C74,"AUGUST",H5:H74,"E-ON SUPPLY -STREETLIGHTS")</f>
        <v>0</v>
      </c>
      <c r="X14" s="8">
        <f>SUMIFS(L5:L74,C5:C74,"SEPTEMBER",H5:H74,"E-ON SUPPLY -STREETLIGHTS")</f>
        <v>0</v>
      </c>
      <c r="Y14" s="8">
        <f>SUMIFS(L5:L74,C5:C74,"OCTOBER",H5:H74,"E-ON SUPPLY -STREETLIGHTS")</f>
        <v>874.51</v>
      </c>
      <c r="Z14" s="8">
        <f>SUMIFS(L5:L74,C5:C74,"NOVEMBER",H5:H74,"E-ON SUPPLY -STREETLIGHTS")</f>
        <v>0</v>
      </c>
      <c r="AA14" s="8">
        <f>SUMIFS(L5:L74,C5:C74,"DECEMBER",H5:H74,"E-ON SUPPLY -STREETLIGHTS")</f>
        <v>0</v>
      </c>
      <c r="AB14" s="8">
        <f>SUMIFS(L7:L76,C7:C76,"JANUARY",H7:H76,"E-ON SUPPLY -STREETLIGHTS")</f>
        <v>1137.48</v>
      </c>
      <c r="AC14" s="8">
        <f>SUMIFS(L5:L74,C5:C74,"FEBRUARY",H5:H74,"E-ON SUPPLY -STREETLIGHTS")</f>
        <v>0</v>
      </c>
      <c r="AD14" s="8">
        <f>SUMIFS(L5:L74,C5:C74,"MARCH",H5:H74,"E-ON SUPPLY -STREETLIGHTS")</f>
        <v>0</v>
      </c>
      <c r="AE14" s="36">
        <f t="shared" si="4"/>
        <v>4092.23</v>
      </c>
      <c r="AF14" s="36">
        <f>BK14</f>
        <v>4249.9926126</v>
      </c>
      <c r="AG14" s="36">
        <f>SUM(AF14-AE14)</f>
        <v>157.76261260000001</v>
      </c>
      <c r="AI14" s="40" t="s">
        <v>50</v>
      </c>
      <c r="AJ14" s="8">
        <f>SUM(2582.03/12)</f>
        <v>215.16916666666668</v>
      </c>
      <c r="AK14" s="8">
        <f t="shared" ref="AK14:AU14" si="10">SUM(2582.03/12)</f>
        <v>215.16916666666668</v>
      </c>
      <c r="AL14" s="8">
        <f t="shared" si="10"/>
        <v>215.16916666666668</v>
      </c>
      <c r="AM14" s="8">
        <f t="shared" si="10"/>
        <v>215.16916666666668</v>
      </c>
      <c r="AN14" s="8">
        <f t="shared" si="10"/>
        <v>215.16916666666668</v>
      </c>
      <c r="AO14" s="8">
        <f t="shared" si="10"/>
        <v>215.16916666666668</v>
      </c>
      <c r="AP14" s="8">
        <f t="shared" si="10"/>
        <v>215.16916666666668</v>
      </c>
      <c r="AQ14" s="8">
        <f t="shared" si="10"/>
        <v>215.16916666666668</v>
      </c>
      <c r="AR14" s="8">
        <f t="shared" si="10"/>
        <v>215.16916666666668</v>
      </c>
      <c r="AS14" s="8">
        <f t="shared" si="10"/>
        <v>215.16916666666668</v>
      </c>
      <c r="AT14" s="8">
        <f t="shared" si="10"/>
        <v>215.16916666666668</v>
      </c>
      <c r="AU14" s="8">
        <f t="shared" si="10"/>
        <v>215.16916666666668</v>
      </c>
      <c r="AV14" s="36">
        <f t="shared" ref="AV14" si="11">SUM(AJ14:AU14)</f>
        <v>2582.0299999999993</v>
      </c>
      <c r="AX14" s="29" t="s">
        <v>50</v>
      </c>
      <c r="AY14" s="8">
        <f>BK14/4</f>
        <v>1062.49815315</v>
      </c>
      <c r="AZ14" s="8">
        <v>0</v>
      </c>
      <c r="BA14" s="8">
        <v>0</v>
      </c>
      <c r="BB14" s="8">
        <f>BK14/4</f>
        <v>1062.49815315</v>
      </c>
      <c r="BC14" s="8">
        <v>0</v>
      </c>
      <c r="BD14" s="8">
        <v>0</v>
      </c>
      <c r="BE14" s="8">
        <f>BK14/4</f>
        <v>1062.49815315</v>
      </c>
      <c r="BF14" s="8">
        <v>0</v>
      </c>
      <c r="BG14" s="8">
        <v>0</v>
      </c>
      <c r="BH14" s="8">
        <f>BK14/4</f>
        <v>1062.49815315</v>
      </c>
      <c r="BI14" s="8">
        <v>0</v>
      </c>
      <c r="BJ14" s="8">
        <v>0</v>
      </c>
      <c r="BK14" s="96">
        <f>(8064.9*0.50188)*BM2</f>
        <v>4249.9926126</v>
      </c>
      <c r="BL14" s="5" t="s">
        <v>240</v>
      </c>
    </row>
    <row r="15" spans="1:65" x14ac:dyDescent="0.3">
      <c r="A15" s="2">
        <v>11</v>
      </c>
      <c r="B15" s="3">
        <v>45428</v>
      </c>
      <c r="C15" s="3" t="s">
        <v>13</v>
      </c>
      <c r="D15" s="1" t="s">
        <v>70</v>
      </c>
      <c r="E15" s="1"/>
      <c r="F15" s="2"/>
      <c r="G15" s="8">
        <v>404.16</v>
      </c>
      <c r="H15" s="42" t="s">
        <v>105</v>
      </c>
      <c r="I15" s="10">
        <v>404.16</v>
      </c>
      <c r="J15" s="10"/>
      <c r="K15" s="11"/>
      <c r="L15" s="127">
        <f t="shared" si="0"/>
        <v>404.16</v>
      </c>
      <c r="M15" s="2" t="s">
        <v>102</v>
      </c>
      <c r="N15" s="1" t="s">
        <v>103</v>
      </c>
      <c r="O15" s="8">
        <f t="shared" si="3"/>
        <v>404.16</v>
      </c>
      <c r="P15" s="110">
        <v>45428</v>
      </c>
      <c r="Q15" s="9"/>
      <c r="R15" s="43" t="s">
        <v>51</v>
      </c>
      <c r="S15" s="8">
        <f>SUMIFS(L5:L74,C5:C74,"APRIL",H5:H74,"E-ON MAINTENANCE")</f>
        <v>0</v>
      </c>
      <c r="T15" s="8">
        <f>SUMIFS(L5:L74,C5:C74,"MAY",H5:H74,"E-ON MAINTENANCE- STREETLIGHTS")</f>
        <v>0</v>
      </c>
      <c r="U15" s="8">
        <f>SUMIFS(L5:L74,C5:C74,"JUNE",H5:H74,"E-ON MAINTENANCE- STREETLIGHTS")</f>
        <v>190.8</v>
      </c>
      <c r="V15" s="8">
        <v>0</v>
      </c>
      <c r="W15" s="8">
        <f>SUMIFS(L5:L74,C5:C74,"AUGUST",H5:H74,"E- ON MAINTENANCE- STREETLIGHTS")</f>
        <v>0</v>
      </c>
      <c r="X15" s="8">
        <f>SUMIFS(L5:L74,C5:C74,"SEPTEMBER",H5:H74,"E-ON MAINTENANCE- STREETLIGHTS")</f>
        <v>190.8</v>
      </c>
      <c r="Y15" s="8">
        <f>SUMIFS(L5:L74,C5:C74,"OCTOBER",H5:H74,"E-ON MAINTENANCE")</f>
        <v>0</v>
      </c>
      <c r="Z15" s="8">
        <f>SUMIFS(L5:L74,C5:C74,"NOVEMBER",H5:H74,"E-ON MAINTENANCE")</f>
        <v>0</v>
      </c>
      <c r="AA15" s="8">
        <f>SUMIFS(L5:L74,C5:C74,"DECEMBER",H5:H74,"E-ON MAINTENANCE- STREETLIGHTS")</f>
        <v>188.4</v>
      </c>
      <c r="AB15" s="8">
        <f>SUMIFS(L5:L74,C5:C74,"JANUARY",H5:H74,"E-ON MAINTENANCE")</f>
        <v>0</v>
      </c>
      <c r="AC15" s="8">
        <f>SUMIFS(L5:L74,C5:C74,"FEBRUARY",H5:H74,"E-ON MAINTENANCE")</f>
        <v>0</v>
      </c>
      <c r="AD15" s="8">
        <f>SUMIFS(L5:L74,C5:C74,"MARCH",H5:H74,"E-ON MAINTENANCE")</f>
        <v>0</v>
      </c>
      <c r="AE15" s="36">
        <f>SUM(S15:AD15)</f>
        <v>570</v>
      </c>
      <c r="AF15" s="36">
        <f>BK15</f>
        <v>813.6</v>
      </c>
      <c r="AG15" s="36">
        <f>SUM(AF15-AE15)</f>
        <v>243.60000000000002</v>
      </c>
      <c r="AI15" s="40" t="s">
        <v>51</v>
      </c>
      <c r="AJ15" s="8">
        <f>SUM(603.5/12)</f>
        <v>50.291666666666664</v>
      </c>
      <c r="AK15" s="8">
        <f t="shared" ref="AK15:AU15" si="12">SUM(603.5/12)</f>
        <v>50.291666666666664</v>
      </c>
      <c r="AL15" s="8">
        <f t="shared" si="12"/>
        <v>50.291666666666664</v>
      </c>
      <c r="AM15" s="8">
        <f t="shared" si="12"/>
        <v>50.291666666666664</v>
      </c>
      <c r="AN15" s="8">
        <f t="shared" si="12"/>
        <v>50.291666666666664</v>
      </c>
      <c r="AO15" s="8">
        <f t="shared" si="12"/>
        <v>50.291666666666664</v>
      </c>
      <c r="AP15" s="8">
        <f t="shared" si="12"/>
        <v>50.291666666666664</v>
      </c>
      <c r="AQ15" s="8">
        <f t="shared" si="12"/>
        <v>50.291666666666664</v>
      </c>
      <c r="AR15" s="8">
        <f t="shared" si="12"/>
        <v>50.291666666666664</v>
      </c>
      <c r="AS15" s="8">
        <f t="shared" si="12"/>
        <v>50.291666666666664</v>
      </c>
      <c r="AT15" s="8">
        <f t="shared" si="12"/>
        <v>50.291666666666664</v>
      </c>
      <c r="AU15" s="8">
        <f t="shared" si="12"/>
        <v>50.291666666666664</v>
      </c>
      <c r="AV15" s="36">
        <f>SUM(AJ15:AU15)</f>
        <v>603.5</v>
      </c>
      <c r="AX15" s="29" t="s">
        <v>51</v>
      </c>
      <c r="AY15" s="8">
        <f>BK15/4</f>
        <v>203.4</v>
      </c>
      <c r="AZ15" s="8">
        <v>0</v>
      </c>
      <c r="BA15" s="8">
        <v>0</v>
      </c>
      <c r="BB15" s="8">
        <f>BK15/4</f>
        <v>203.4</v>
      </c>
      <c r="BC15" s="8">
        <v>0</v>
      </c>
      <c r="BD15" s="8">
        <v>0</v>
      </c>
      <c r="BE15" s="8">
        <f>BK15/4</f>
        <v>203.4</v>
      </c>
      <c r="BF15" s="8">
        <v>0</v>
      </c>
      <c r="BG15" s="8">
        <v>0</v>
      </c>
      <c r="BH15" s="8">
        <f>BK15/4</f>
        <v>203.4</v>
      </c>
      <c r="BI15" s="8">
        <v>0</v>
      </c>
      <c r="BJ15" s="8">
        <v>0</v>
      </c>
      <c r="BK15" s="96">
        <f>4*203.4</f>
        <v>813.6</v>
      </c>
      <c r="BL15" s="5" t="s">
        <v>241</v>
      </c>
    </row>
    <row r="16" spans="1:65" x14ac:dyDescent="0.3">
      <c r="A16" s="2">
        <v>12</v>
      </c>
      <c r="B16" s="3">
        <v>45443</v>
      </c>
      <c r="C16" s="3" t="s">
        <v>13</v>
      </c>
      <c r="D16" s="1" t="s">
        <v>107</v>
      </c>
      <c r="E16" s="1">
        <v>533849897</v>
      </c>
      <c r="F16" s="2"/>
      <c r="G16" s="8">
        <v>570</v>
      </c>
      <c r="H16" s="42" t="s">
        <v>30</v>
      </c>
      <c r="I16" s="10">
        <v>570</v>
      </c>
      <c r="J16" s="10"/>
      <c r="K16" s="11"/>
      <c r="L16" s="127">
        <f t="shared" si="0"/>
        <v>570</v>
      </c>
      <c r="M16" s="2" t="s">
        <v>108</v>
      </c>
      <c r="N16" s="1" t="s">
        <v>109</v>
      </c>
      <c r="O16" s="8">
        <f t="shared" si="3"/>
        <v>570</v>
      </c>
      <c r="P16" s="110">
        <v>45443</v>
      </c>
      <c r="Q16" s="9"/>
      <c r="R16" s="44" t="s">
        <v>41</v>
      </c>
      <c r="S16" s="8">
        <f>SUMIFS(L5:L74,C5:C74,"APRIL",H5:H74,"HMRC")</f>
        <v>0</v>
      </c>
      <c r="T16" s="8">
        <f>SUMIFS(L5:L74,C5:C74,"MAY",H5:H74,"HMRC")</f>
        <v>0</v>
      </c>
      <c r="U16" s="8">
        <f>SUMIFS(L5:L74,C5:C74,"JUNE",H5:H74,"HMRC")</f>
        <v>0</v>
      </c>
      <c r="V16" s="8">
        <f>SUMIFS(L5:L74,C5:C74,"JULY",H5:H74,"HMRC")</f>
        <v>0</v>
      </c>
      <c r="W16" s="8">
        <f>SUMIFS(L5:L74,C5:C74,"AUGUST",H5:H74,"HMRC")</f>
        <v>0</v>
      </c>
      <c r="X16" s="8">
        <f>SUMIFS(L5:L74,C5:C74,"SEPTEMBER",H5:H74,"HMRC")</f>
        <v>0</v>
      </c>
      <c r="Y16" s="8">
        <f>SUMIFS(L5:L74,C5:C74,"OCTOBER",H5:H74,"HMRC")</f>
        <v>0</v>
      </c>
      <c r="Z16" s="8">
        <f>SUMIFS(L5:L74,C5:C74,"NOVEMBER",H5:H74,"HMRC")</f>
        <v>0</v>
      </c>
      <c r="AA16" s="8">
        <f>SUMIFS(L5:L74,C5:C74,"DECEMBER",H5:H74,"HMRC")</f>
        <v>0</v>
      </c>
      <c r="AB16" s="8">
        <f>SUMIFS(L5:L74,C5:C74,"JANUARY",H5:H74,"HMRC")</f>
        <v>0</v>
      </c>
      <c r="AC16" s="8">
        <f>SUMIFS(L5:L74,C5:C74,"FEBRUARY",H5:H74,"HMRC")</f>
        <v>0</v>
      </c>
      <c r="AD16" s="8">
        <f>SUMIFS(L5:L74,C5:C74,"MARCH",H5:H74,"HMRC")</f>
        <v>0</v>
      </c>
      <c r="AE16" s="36">
        <f t="shared" si="4"/>
        <v>0</v>
      </c>
      <c r="AF16" s="36">
        <f>BK16</f>
        <v>2520</v>
      </c>
      <c r="AG16" s="36">
        <f>SUM(AF16-AE16)</f>
        <v>2520</v>
      </c>
      <c r="AI16" s="41" t="s">
        <v>41</v>
      </c>
      <c r="AJ16" s="8">
        <f>SUM(700/12)</f>
        <v>58.333333333333336</v>
      </c>
      <c r="AK16" s="8">
        <f t="shared" ref="AK16:AU16" si="13">SUM(700/12)</f>
        <v>58.333333333333336</v>
      </c>
      <c r="AL16" s="8">
        <f t="shared" si="13"/>
        <v>58.333333333333336</v>
      </c>
      <c r="AM16" s="8">
        <f t="shared" si="13"/>
        <v>58.333333333333336</v>
      </c>
      <c r="AN16" s="8">
        <f t="shared" si="13"/>
        <v>58.333333333333336</v>
      </c>
      <c r="AO16" s="8">
        <f t="shared" si="13"/>
        <v>58.333333333333336</v>
      </c>
      <c r="AP16" s="8">
        <f t="shared" si="13"/>
        <v>58.333333333333336</v>
      </c>
      <c r="AQ16" s="8">
        <f t="shared" si="13"/>
        <v>58.333333333333336</v>
      </c>
      <c r="AR16" s="8">
        <f t="shared" si="13"/>
        <v>58.333333333333336</v>
      </c>
      <c r="AS16" s="8">
        <f t="shared" si="13"/>
        <v>58.333333333333336</v>
      </c>
      <c r="AT16" s="8">
        <f t="shared" si="13"/>
        <v>58.333333333333336</v>
      </c>
      <c r="AU16" s="8">
        <f t="shared" si="13"/>
        <v>58.333333333333336</v>
      </c>
      <c r="AV16" s="36">
        <f t="shared" ref="AV16" si="14">SUM(AJ16:AU16)</f>
        <v>700.00000000000011</v>
      </c>
      <c r="AX16" s="33" t="s">
        <v>41</v>
      </c>
      <c r="AY16" s="8">
        <v>0</v>
      </c>
      <c r="AZ16" s="8">
        <v>0</v>
      </c>
      <c r="BA16" s="8">
        <v>0</v>
      </c>
      <c r="BB16" s="8">
        <v>0</v>
      </c>
      <c r="BC16" s="8">
        <f>BK16</f>
        <v>2520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96">
        <v>2520</v>
      </c>
      <c r="BL16" s="5" t="s">
        <v>247</v>
      </c>
    </row>
    <row r="17" spans="1:64" x14ac:dyDescent="0.3">
      <c r="A17" s="2">
        <v>13</v>
      </c>
      <c r="B17" s="32">
        <v>45443</v>
      </c>
      <c r="C17" s="3" t="s">
        <v>13</v>
      </c>
      <c r="D17" s="1" t="s">
        <v>83</v>
      </c>
      <c r="E17" s="15" t="s">
        <v>110</v>
      </c>
      <c r="F17" s="2"/>
      <c r="G17" s="8">
        <v>24</v>
      </c>
      <c r="H17" s="42" t="s">
        <v>106</v>
      </c>
      <c r="I17" s="10">
        <v>24</v>
      </c>
      <c r="J17" s="10"/>
      <c r="K17" s="11"/>
      <c r="L17" s="127">
        <f t="shared" si="0"/>
        <v>24</v>
      </c>
      <c r="M17" s="2" t="s">
        <v>111</v>
      </c>
      <c r="N17" s="1" t="s">
        <v>112</v>
      </c>
      <c r="O17" s="8">
        <f t="shared" si="3"/>
        <v>24</v>
      </c>
      <c r="P17" s="110">
        <v>45443</v>
      </c>
      <c r="Q17" s="9"/>
      <c r="R17" s="43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36"/>
      <c r="AF17" s="36"/>
      <c r="AG17" s="36">
        <f t="shared" ref="AG17:AG39" si="15">SUM(AF17-AE17)</f>
        <v>0</v>
      </c>
      <c r="AI17" s="40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36"/>
      <c r="AX17" s="29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96"/>
    </row>
    <row r="18" spans="1:64" x14ac:dyDescent="0.3">
      <c r="A18" s="2">
        <v>14</v>
      </c>
      <c r="B18" s="3">
        <v>45443</v>
      </c>
      <c r="C18" s="3" t="s">
        <v>13</v>
      </c>
      <c r="D18" s="1" t="s">
        <v>72</v>
      </c>
      <c r="E18" s="1"/>
      <c r="F18" s="2"/>
      <c r="G18" s="8">
        <v>29.2</v>
      </c>
      <c r="H18" s="42" t="s">
        <v>27</v>
      </c>
      <c r="I18" s="10">
        <v>24.32</v>
      </c>
      <c r="J18" s="10"/>
      <c r="K18" s="11">
        <v>4.88</v>
      </c>
      <c r="L18" s="127">
        <f t="shared" si="0"/>
        <v>29.2</v>
      </c>
      <c r="M18" s="2" t="s">
        <v>113</v>
      </c>
      <c r="N18" s="1" t="s">
        <v>114</v>
      </c>
      <c r="O18" s="8">
        <f t="shared" si="3"/>
        <v>29.2</v>
      </c>
      <c r="P18" s="110">
        <v>45443</v>
      </c>
      <c r="Q18" s="9"/>
      <c r="R18" s="43" t="s">
        <v>40</v>
      </c>
      <c r="S18" s="8">
        <f>SUMIFS(L5:L74,C5:C74,"APRIL",H5:H74,"SUBSCRIPTIONS/DONATIONS/GRANTS")</f>
        <v>0</v>
      </c>
      <c r="T18" s="8">
        <f>SUMIFS(L5:L74,C5:C74,"MAY",H5:H74,"SUBSCRIPTIONS/DONATIONS/GRANTS")</f>
        <v>0</v>
      </c>
      <c r="U18" s="8">
        <f>SUMIFS(L5:L74,C5:C74,"JUNE",H5:H74,"SUBSCRIPTIONS/DONATIONS/GRANTS")</f>
        <v>242.42</v>
      </c>
      <c r="V18" s="8">
        <f>SUMIFS(L5:L74,C5:C74,"JULY",H5:H74,"SUBSCRIPTIONS/DONATIONS/GRANTS")</f>
        <v>0</v>
      </c>
      <c r="W18" s="8">
        <f>SUMIFS(L5:L74,C5:C74,"AUGUST",H5:H74,"SUBSCRIPTIONS/DONATIONS/GRANTS")</f>
        <v>250</v>
      </c>
      <c r="X18" s="8">
        <f>SUMIFS(L5:L74,C5:C74,"SEPTEMBER",H5:H74,"SUBSCRIPTIONS/DONATIONS/GRANTS")</f>
        <v>0</v>
      </c>
      <c r="Y18" s="8">
        <f>SUMIFS(L5:L74,C5:C74,"OCTOBER",H5:H74,"SUBSCRIPTIONS/DONATIONS/GRANTS")</f>
        <v>0</v>
      </c>
      <c r="Z18" s="8">
        <f>SUMIFS(L5:L74,C5:C74,"NOVEMBER",H5:H74,"SUBSCRIPTIONS/DONATIONS/GRANTS")</f>
        <v>0</v>
      </c>
      <c r="AA18" s="8">
        <f>SUMIFS(L5:L74,C5:C74,"DECEMBER",H5:H74,"SUBSCRIPTIONS/DONATIONS/GRANTS")</f>
        <v>0</v>
      </c>
      <c r="AB18" s="8">
        <f>SUMIFS(L5:L74,C5:C74,"JANUARY",H5:H74,"SUBSCRIPTIONS/DONATIONS/GRANTS")</f>
        <v>0</v>
      </c>
      <c r="AC18" s="8">
        <f>SUMIFS(L5:L74,C5:C74,"FEBRUARY",H5:H74,"SUBSCRIPTIONS/DONATIONS/GRANTS")</f>
        <v>0</v>
      </c>
      <c r="AD18" s="8">
        <f>SUMIFS(L5:L74,C5:C74,"MARCH",H5:H74,"SUBSCRIPTIONS/DONATIONS/GRANTS")</f>
        <v>0</v>
      </c>
      <c r="AE18" s="36">
        <f t="shared" si="4"/>
        <v>492.41999999999996</v>
      </c>
      <c r="AF18" s="36">
        <f>BK18</f>
        <v>500</v>
      </c>
      <c r="AG18" s="36">
        <f t="shared" si="15"/>
        <v>7.5800000000000409</v>
      </c>
      <c r="AI18" s="40" t="s">
        <v>40</v>
      </c>
      <c r="AJ18" s="8">
        <f>SUM(838.01/12)</f>
        <v>69.834166666666661</v>
      </c>
      <c r="AK18" s="8">
        <f t="shared" ref="AK18:AU18" si="16">SUM(838.01/12)</f>
        <v>69.834166666666661</v>
      </c>
      <c r="AL18" s="8">
        <f t="shared" si="16"/>
        <v>69.834166666666661</v>
      </c>
      <c r="AM18" s="8">
        <f t="shared" si="16"/>
        <v>69.834166666666661</v>
      </c>
      <c r="AN18" s="8">
        <f t="shared" si="16"/>
        <v>69.834166666666661</v>
      </c>
      <c r="AO18" s="8">
        <f t="shared" si="16"/>
        <v>69.834166666666661</v>
      </c>
      <c r="AP18" s="8">
        <f t="shared" si="16"/>
        <v>69.834166666666661</v>
      </c>
      <c r="AQ18" s="8">
        <f t="shared" si="16"/>
        <v>69.834166666666661</v>
      </c>
      <c r="AR18" s="8">
        <f t="shared" si="16"/>
        <v>69.834166666666661</v>
      </c>
      <c r="AS18" s="8">
        <f t="shared" si="16"/>
        <v>69.834166666666661</v>
      </c>
      <c r="AT18" s="8">
        <f t="shared" si="16"/>
        <v>69.834166666666661</v>
      </c>
      <c r="AU18" s="8">
        <f t="shared" si="16"/>
        <v>69.834166666666661</v>
      </c>
      <c r="AV18" s="36">
        <f t="shared" ref="AV18" si="17">SUM(AJ18:AU18)</f>
        <v>838.00999999999988</v>
      </c>
      <c r="AX18" s="29" t="s">
        <v>40</v>
      </c>
      <c r="AY18" s="8">
        <v>0</v>
      </c>
      <c r="AZ18" s="8">
        <v>0</v>
      </c>
      <c r="BA18" s="8">
        <v>0</v>
      </c>
      <c r="BB18" s="8">
        <v>0</v>
      </c>
      <c r="BC18" s="8">
        <f>BK18</f>
        <v>500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96">
        <v>500</v>
      </c>
      <c r="BL18" s="5" t="s">
        <v>248</v>
      </c>
    </row>
    <row r="19" spans="1:64" x14ac:dyDescent="0.3">
      <c r="A19" s="2">
        <v>15</v>
      </c>
      <c r="B19" s="3">
        <v>45444</v>
      </c>
      <c r="C19" s="3" t="s">
        <v>14</v>
      </c>
      <c r="D19" s="7" t="s">
        <v>70</v>
      </c>
      <c r="E19" s="1"/>
      <c r="F19" s="2"/>
      <c r="G19" s="8">
        <v>505.2</v>
      </c>
      <c r="H19" s="42" t="s">
        <v>105</v>
      </c>
      <c r="I19" s="10">
        <v>505.2</v>
      </c>
      <c r="J19" s="10"/>
      <c r="K19" s="11"/>
      <c r="L19" s="127">
        <f t="shared" si="0"/>
        <v>505.2</v>
      </c>
      <c r="M19" s="2" t="s">
        <v>115</v>
      </c>
      <c r="N19" s="1" t="s">
        <v>116</v>
      </c>
      <c r="O19" s="8">
        <f t="shared" si="3"/>
        <v>505.2</v>
      </c>
      <c r="P19" s="110">
        <v>45446</v>
      </c>
      <c r="Q19" s="9"/>
      <c r="R19" s="43" t="s">
        <v>44</v>
      </c>
      <c r="S19" s="8">
        <f>SUMIFS(L5:L74,C5:C74,"APRIL",H5:H74,"ELECTION")</f>
        <v>0</v>
      </c>
      <c r="T19" s="8">
        <f>SUMIFS(L5:L74,C5:C74,"MAY",H5:H74,"ELECTION")</f>
        <v>0</v>
      </c>
      <c r="U19" s="8">
        <f>SUMIFS(L5:L74,C5:C74,"JUNE",H5:H74,"ELECTION")</f>
        <v>0</v>
      </c>
      <c r="V19" s="8">
        <f>SUMIFS(L5:L74,C5:C74,"JULY",H5:H74,"ELECTION")</f>
        <v>0</v>
      </c>
      <c r="W19" s="8">
        <f>SUMIFS(L5:L74,C5:C74,"AUGUST",H5:H74,"ELECTION")</f>
        <v>0</v>
      </c>
      <c r="X19" s="8">
        <f>SUMIFS(L5:L74,C5:C74,"SEPTEMBER",H5:H74,"ELECTION")</f>
        <v>0</v>
      </c>
      <c r="Y19" s="8">
        <f>SUMIFS(L5:L74,C5:C74,"OCTOBER",H5:H74,"ELECTION")</f>
        <v>0</v>
      </c>
      <c r="Z19" s="8">
        <f>SUMIFS(L5:L74,C5:C74,"NOVEMBER",H5:H74,"ELECTION")</f>
        <v>0</v>
      </c>
      <c r="AA19" s="8">
        <f>SUMIFS(L5:L74,C5:C74,"DECEMBER",H5:H74,"ELECTION")</f>
        <v>0</v>
      </c>
      <c r="AB19" s="8">
        <f>SUMIFS(L5:L74,C5:C74,"JANUARY",H5:H74,"ELECTION")</f>
        <v>0</v>
      </c>
      <c r="AC19" s="8">
        <f>SUMIFS(L5:L74,C5:C74,"FEBRUARY",H5:H74,"ELECTION")</f>
        <v>0</v>
      </c>
      <c r="AD19" s="8">
        <f>SUMIFS(L5:L74,C5:C74,"MARCH",H5:H74,"ELECTION")</f>
        <v>0</v>
      </c>
      <c r="AE19" s="36">
        <f>SUM(S19:AD19)</f>
        <v>0</v>
      </c>
      <c r="AF19" s="36">
        <f>BK19</f>
        <v>0</v>
      </c>
      <c r="AG19" s="36">
        <f t="shared" si="15"/>
        <v>0</v>
      </c>
      <c r="AI19" s="40" t="s">
        <v>44</v>
      </c>
      <c r="AJ19" s="8">
        <f>SUMIFS(AC5:AC45,T5:T45,"APRIL",Y5:Y45,"ELECTION")</f>
        <v>0</v>
      </c>
      <c r="AK19" s="8">
        <f>SUMIFS(AC5:AC45,T5:T45,"MAY",Y5:Y45,"ELECTION")</f>
        <v>0</v>
      </c>
      <c r="AL19" s="8">
        <f>SUMIFS(AC5:AC45,T5:T45,"JUNE",Y5:Y45,"ELECTION")</f>
        <v>0</v>
      </c>
      <c r="AM19" s="8">
        <f>SUMIFS(AC5:AC45,T5:T45,"JULY",Y5:Y45,"ELECTION")</f>
        <v>0</v>
      </c>
      <c r="AN19" s="8">
        <v>75.06</v>
      </c>
      <c r="AO19" s="8">
        <f>SUMIFS(AC5:AC45,T5:T45,"SEPTEMBER",Y5:Y45,"ELECTION")</f>
        <v>0</v>
      </c>
      <c r="AP19" s="8">
        <f>SUMIFS(AC5:AC45,T5:T45,"OCTOBER",Y5:Y45,"ELECTION")</f>
        <v>0</v>
      </c>
      <c r="AQ19" s="8">
        <f>SUMIFS(AC5:AC45,T5:T45,"NOVEMBER",Y5:Y45,"ELECTION")</f>
        <v>0</v>
      </c>
      <c r="AR19" s="8">
        <f>SUMIFS(AC5:AC45,T5:T45,"DECEMBER",Y5:Y45,"ELECTION")</f>
        <v>0</v>
      </c>
      <c r="AS19" s="8">
        <f>SUMIFS(AC5:AC45,T5:T45,"JANUARY",Y5:Y45,"ELECTION")</f>
        <v>0</v>
      </c>
      <c r="AT19" s="8">
        <f>SUMIFS(AC5:AC45,T5:T45,"FEBRUARY",Y5:Y45,"ELECTION")</f>
        <v>0</v>
      </c>
      <c r="AU19" s="8">
        <f>SUMIFS(AC5:AC45,T5:T45,"MARCH",Y5:Y45,"ELECTION")</f>
        <v>0</v>
      </c>
      <c r="AV19" s="36">
        <f>SUM(AJ19:AU19)</f>
        <v>75.06</v>
      </c>
      <c r="AX19" s="29" t="s">
        <v>44</v>
      </c>
      <c r="AY19" s="8">
        <v>0</v>
      </c>
      <c r="AZ19" s="8">
        <f>BK19</f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96">
        <v>0</v>
      </c>
    </row>
    <row r="20" spans="1:64" x14ac:dyDescent="0.3">
      <c r="A20" s="2">
        <v>16</v>
      </c>
      <c r="B20" s="3">
        <v>45450</v>
      </c>
      <c r="C20" s="3" t="s">
        <v>14</v>
      </c>
      <c r="D20" s="7" t="s">
        <v>70</v>
      </c>
      <c r="E20" s="1"/>
      <c r="F20" s="2"/>
      <c r="G20" s="8">
        <v>48.15</v>
      </c>
      <c r="H20" s="42" t="s">
        <v>26</v>
      </c>
      <c r="I20" s="10">
        <v>48.15</v>
      </c>
      <c r="J20" s="10"/>
      <c r="K20" s="11"/>
      <c r="L20" s="127">
        <f t="shared" si="0"/>
        <v>48.15</v>
      </c>
      <c r="M20" s="2" t="s">
        <v>117</v>
      </c>
      <c r="N20" s="1" t="s">
        <v>118</v>
      </c>
      <c r="O20" s="8">
        <f t="shared" si="3"/>
        <v>48.15</v>
      </c>
      <c r="P20" s="110">
        <v>45450</v>
      </c>
      <c r="Q20" s="9"/>
      <c r="R20" s="43" t="s">
        <v>106</v>
      </c>
      <c r="S20" s="8">
        <f>SUMIFS(L5:L74,C5:C74,"APRIL",H5:H74,"HIRE CHARGES")</f>
        <v>24</v>
      </c>
      <c r="T20" s="8">
        <f>SUMIFS(L5:L74,C5:C74,"MAY",H5:H74,"HIRE CHARGES")</f>
        <v>24</v>
      </c>
      <c r="U20" s="8">
        <f>SUMIFS(L5:L74,C5:C74,"JUNE",H5:H74,"HIRE CHARGES")</f>
        <v>0</v>
      </c>
      <c r="V20" s="8">
        <f>SUMIFS(L5:L74,C5:C74,"JULY",H5:H74,"HIRE CHARGES")</f>
        <v>0</v>
      </c>
      <c r="W20" s="8">
        <f>SUMIFS(L5:L74,C5:C74,"AUGUST",H5:H74,"HIRE CHARGES")</f>
        <v>0</v>
      </c>
      <c r="X20" s="8">
        <f>SUMIFS(L5:L74,C5:C74,"SEPTEMBER",H5:H74,"HIRE CHARGES")</f>
        <v>48</v>
      </c>
      <c r="Y20" s="8">
        <f>SUMIFS(L5:L74,C5:C74,"OCTOBER",H5:H74,"HIRE CHARGES")</f>
        <v>0</v>
      </c>
      <c r="Z20" s="8">
        <f>SUMIFS(L5:L74,C5:C74,"NOVEMBER",H5:H74,"HIRE CHARGES")</f>
        <v>0</v>
      </c>
      <c r="AA20" s="8">
        <f>SUMIFS(L5:L74,C5:C74,"DECEMBER",H5:H74,"HIRE CHARGES")</f>
        <v>0</v>
      </c>
      <c r="AB20" s="8">
        <f>SUMIFS(L5:L74,C5:C74,"JANUARY",H5:H74,"HIRE CHARGES")</f>
        <v>0</v>
      </c>
      <c r="AC20" s="8">
        <f>SUMIFS(L5:L74,C5:C74,"FEBRUARY",H5:H74,"HIRE CHARGES")</f>
        <v>0</v>
      </c>
      <c r="AD20" s="8">
        <f>SUMIFS(L5:L74,C5:C74,"MARCH",H5:H74,"HIRE CHARGES")</f>
        <v>0</v>
      </c>
      <c r="AE20" s="36">
        <f t="shared" si="4"/>
        <v>96</v>
      </c>
      <c r="AF20" s="36">
        <f>BK20</f>
        <v>175</v>
      </c>
      <c r="AG20" s="36">
        <f t="shared" si="15"/>
        <v>79</v>
      </c>
      <c r="AI20" s="40" t="s">
        <v>52</v>
      </c>
      <c r="AJ20" s="8">
        <f>SUM(108/12)</f>
        <v>9</v>
      </c>
      <c r="AK20" s="8">
        <f t="shared" ref="AK20:AU20" si="18">SUM(108/12)</f>
        <v>9</v>
      </c>
      <c r="AL20" s="8">
        <f t="shared" si="18"/>
        <v>9</v>
      </c>
      <c r="AM20" s="8">
        <f t="shared" si="18"/>
        <v>9</v>
      </c>
      <c r="AN20" s="8">
        <f t="shared" si="18"/>
        <v>9</v>
      </c>
      <c r="AO20" s="8">
        <f t="shared" si="18"/>
        <v>9</v>
      </c>
      <c r="AP20" s="8">
        <f t="shared" si="18"/>
        <v>9</v>
      </c>
      <c r="AQ20" s="8">
        <f t="shared" si="18"/>
        <v>9</v>
      </c>
      <c r="AR20" s="8">
        <f t="shared" si="18"/>
        <v>9</v>
      </c>
      <c r="AS20" s="8">
        <f t="shared" si="18"/>
        <v>9</v>
      </c>
      <c r="AT20" s="8">
        <f t="shared" si="18"/>
        <v>9</v>
      </c>
      <c r="AU20" s="8">
        <f t="shared" si="18"/>
        <v>9</v>
      </c>
      <c r="AV20" s="36">
        <f t="shared" ref="AV20" si="19">SUM(AJ20:AU20)</f>
        <v>108</v>
      </c>
      <c r="AX20" s="29" t="s">
        <v>52</v>
      </c>
      <c r="AY20" s="8">
        <v>0</v>
      </c>
      <c r="AZ20" s="8">
        <v>25</v>
      </c>
      <c r="BA20" s="8">
        <v>0</v>
      </c>
      <c r="BB20" s="8">
        <v>25</v>
      </c>
      <c r="BC20" s="8">
        <v>0</v>
      </c>
      <c r="BD20" s="8">
        <v>25</v>
      </c>
      <c r="BE20" s="8">
        <v>0</v>
      </c>
      <c r="BF20" s="8">
        <v>25</v>
      </c>
      <c r="BG20" s="8">
        <v>0</v>
      </c>
      <c r="BH20" s="8">
        <v>25</v>
      </c>
      <c r="BI20" s="8">
        <v>25</v>
      </c>
      <c r="BJ20" s="8">
        <v>25</v>
      </c>
      <c r="BK20" s="96">
        <f>25*7</f>
        <v>175</v>
      </c>
      <c r="BL20" s="5" t="s">
        <v>261</v>
      </c>
    </row>
    <row r="21" spans="1:64" x14ac:dyDescent="0.3">
      <c r="A21" s="2">
        <v>17</v>
      </c>
      <c r="B21" s="3">
        <v>45450</v>
      </c>
      <c r="C21" s="3" t="s">
        <v>14</v>
      </c>
      <c r="D21" s="7" t="s">
        <v>99</v>
      </c>
      <c r="E21" s="1">
        <v>1281</v>
      </c>
      <c r="F21" s="2"/>
      <c r="G21" s="8">
        <v>40</v>
      </c>
      <c r="H21" s="42" t="s">
        <v>31</v>
      </c>
      <c r="I21" s="10">
        <v>40</v>
      </c>
      <c r="J21" s="10"/>
      <c r="K21" s="11"/>
      <c r="L21" s="127">
        <f t="shared" si="0"/>
        <v>40</v>
      </c>
      <c r="M21" s="2" t="s">
        <v>119</v>
      </c>
      <c r="N21" s="1" t="s">
        <v>120</v>
      </c>
      <c r="O21" s="8">
        <f t="shared" si="3"/>
        <v>40</v>
      </c>
      <c r="P21" s="110">
        <v>45450</v>
      </c>
      <c r="Q21" s="9"/>
      <c r="R21" s="43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36"/>
      <c r="AF21" s="36"/>
      <c r="AG21" s="36">
        <f t="shared" si="15"/>
        <v>0</v>
      </c>
      <c r="AI21" s="40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36"/>
      <c r="AX21" s="29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96"/>
    </row>
    <row r="22" spans="1:64" x14ac:dyDescent="0.3">
      <c r="A22" s="2">
        <v>18</v>
      </c>
      <c r="B22" s="3">
        <v>45450</v>
      </c>
      <c r="C22" s="3" t="s">
        <v>14</v>
      </c>
      <c r="D22" s="7" t="s">
        <v>121</v>
      </c>
      <c r="E22" s="1" t="s">
        <v>122</v>
      </c>
      <c r="F22" s="2"/>
      <c r="G22" s="8">
        <v>230</v>
      </c>
      <c r="H22" s="42" t="s">
        <v>31</v>
      </c>
      <c r="I22" s="10">
        <v>230</v>
      </c>
      <c r="J22" s="10"/>
      <c r="K22" s="11"/>
      <c r="L22" s="127">
        <f t="shared" si="0"/>
        <v>230</v>
      </c>
      <c r="M22" s="2" t="s">
        <v>123</v>
      </c>
      <c r="N22" s="1" t="s">
        <v>124</v>
      </c>
      <c r="O22" s="8">
        <f t="shared" si="3"/>
        <v>230</v>
      </c>
      <c r="P22" s="110">
        <v>45450</v>
      </c>
      <c r="Q22" s="9"/>
      <c r="R22" s="43" t="s">
        <v>190</v>
      </c>
      <c r="S22" s="8">
        <f>SUMIFS(L5:L74,C5:C74,"APRIL",H5:H74,"TRAINING")</f>
        <v>0</v>
      </c>
      <c r="T22" s="8">
        <f>SUMIFS(L5:L74,C5:C74,"MAY",H5:H74,"TRAINING")</f>
        <v>0</v>
      </c>
      <c r="U22" s="8">
        <f>SUMIFS(L5:L74,C5:C74,"JUNE",H5:H74,"TRAINING")</f>
        <v>0</v>
      </c>
      <c r="V22" s="8">
        <f>SUMIFS(L5:L74,C5:C74,"JULY",H5:H74,"TRAINING")</f>
        <v>0</v>
      </c>
      <c r="W22" s="8">
        <f>SUMIFS(L5:L74,C5:C74,"AUGUST",H5:H74,"TRAINING")</f>
        <v>0</v>
      </c>
      <c r="X22" s="8">
        <f>SUMIFS(L5:L74,C5:C74,"SEPTEMBER",H5:H74,"TRAINING")</f>
        <v>0</v>
      </c>
      <c r="Y22" s="8">
        <f>SUMIFS(L5:L74,C5:C74,"OCTOBER",H5:H74,"TRAINING")</f>
        <v>330</v>
      </c>
      <c r="Z22" s="8">
        <f>SUMIFS(L5:L74,C5:C74,"NOVEMBER",H5:H74,"TRAINING")</f>
        <v>0</v>
      </c>
      <c r="AA22" s="8">
        <f>SUMIFS(L5:L74,C5:C74,"DECEMBER",H5:H74,"TRAINING")</f>
        <v>36</v>
      </c>
      <c r="AB22" s="8">
        <f>SUMIFS(L5:L74,C5:C74,"JANUARY",H5:H74,"TRAINING")</f>
        <v>0</v>
      </c>
      <c r="AC22" s="8">
        <f>SUMIFS(L5:L74,C5:C74,"FEBRUARY",H5:H74,"TRAINING")</f>
        <v>0</v>
      </c>
      <c r="AD22" s="8">
        <f>SUMIFS(L5:L74,C5:C74,"MARCH",H5:H74,"TRAINING")</f>
        <v>0</v>
      </c>
      <c r="AE22" s="36">
        <f t="shared" si="4"/>
        <v>366</v>
      </c>
      <c r="AF22" s="36">
        <f>BK22</f>
        <v>200</v>
      </c>
      <c r="AG22" s="36">
        <f t="shared" si="15"/>
        <v>-166</v>
      </c>
      <c r="AI22" s="40" t="s">
        <v>45</v>
      </c>
      <c r="AJ22" s="8">
        <f>SUM(110/12)</f>
        <v>9.1666666666666661</v>
      </c>
      <c r="AK22" s="8">
        <f t="shared" ref="AK22:AU22" si="20">SUM(110/12)</f>
        <v>9.1666666666666661</v>
      </c>
      <c r="AL22" s="8">
        <f t="shared" si="20"/>
        <v>9.1666666666666661</v>
      </c>
      <c r="AM22" s="8">
        <f t="shared" si="20"/>
        <v>9.1666666666666661</v>
      </c>
      <c r="AN22" s="8">
        <f t="shared" si="20"/>
        <v>9.1666666666666661</v>
      </c>
      <c r="AO22" s="8">
        <f t="shared" si="20"/>
        <v>9.1666666666666661</v>
      </c>
      <c r="AP22" s="8">
        <f t="shared" si="20"/>
        <v>9.1666666666666661</v>
      </c>
      <c r="AQ22" s="8">
        <f t="shared" si="20"/>
        <v>9.1666666666666661</v>
      </c>
      <c r="AR22" s="8">
        <f t="shared" si="20"/>
        <v>9.1666666666666661</v>
      </c>
      <c r="AS22" s="8">
        <f t="shared" si="20"/>
        <v>9.1666666666666661</v>
      </c>
      <c r="AT22" s="8">
        <f t="shared" si="20"/>
        <v>9.1666666666666661</v>
      </c>
      <c r="AU22" s="8">
        <f t="shared" si="20"/>
        <v>9.1666666666666661</v>
      </c>
      <c r="AV22" s="36">
        <f t="shared" ref="AV22" si="21">SUM(AJ22:AU22)</f>
        <v>110.00000000000001</v>
      </c>
      <c r="AX22" s="29" t="s">
        <v>45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f>BK22</f>
        <v>200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96">
        <v>200</v>
      </c>
      <c r="BL22" s="5" t="s">
        <v>262</v>
      </c>
    </row>
    <row r="23" spans="1:64" x14ac:dyDescent="0.3">
      <c r="A23" s="2">
        <v>19</v>
      </c>
      <c r="B23" s="3">
        <v>45450</v>
      </c>
      <c r="C23" s="3" t="s">
        <v>14</v>
      </c>
      <c r="D23" s="7" t="s">
        <v>125</v>
      </c>
      <c r="E23" s="1">
        <v>124170</v>
      </c>
      <c r="F23" s="2"/>
      <c r="G23" s="8">
        <v>190.8</v>
      </c>
      <c r="H23" s="42" t="s">
        <v>51</v>
      </c>
      <c r="I23" s="10">
        <v>159</v>
      </c>
      <c r="J23" s="10"/>
      <c r="K23" s="11">
        <v>31.8</v>
      </c>
      <c r="L23" s="127">
        <f t="shared" si="0"/>
        <v>190.8</v>
      </c>
      <c r="M23" s="2" t="s">
        <v>126</v>
      </c>
      <c r="N23" s="1" t="s">
        <v>127</v>
      </c>
      <c r="O23" s="8">
        <f t="shared" si="3"/>
        <v>190.8</v>
      </c>
      <c r="P23" s="110">
        <v>45450</v>
      </c>
      <c r="Q23" s="9"/>
      <c r="R23" s="43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36"/>
      <c r="AF23" s="36"/>
      <c r="AG23" s="36">
        <f t="shared" si="15"/>
        <v>0</v>
      </c>
      <c r="AI23" s="40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36"/>
      <c r="AX23" s="29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96"/>
    </row>
    <row r="24" spans="1:64" x14ac:dyDescent="0.3">
      <c r="A24" s="2">
        <v>20</v>
      </c>
      <c r="B24" s="3">
        <v>45450</v>
      </c>
      <c r="C24" s="3" t="s">
        <v>14</v>
      </c>
      <c r="D24" s="7" t="s">
        <v>128</v>
      </c>
      <c r="E24" s="1">
        <v>14937</v>
      </c>
      <c r="F24" s="2"/>
      <c r="G24" s="8">
        <v>240</v>
      </c>
      <c r="H24" s="42" t="s">
        <v>29</v>
      </c>
      <c r="I24" s="10">
        <v>200</v>
      </c>
      <c r="J24" s="10"/>
      <c r="K24" s="11">
        <v>40</v>
      </c>
      <c r="L24" s="127">
        <f t="shared" si="0"/>
        <v>240</v>
      </c>
      <c r="M24" s="2" t="s">
        <v>129</v>
      </c>
      <c r="N24" s="1" t="s">
        <v>130</v>
      </c>
      <c r="O24" s="8">
        <f t="shared" si="3"/>
        <v>240</v>
      </c>
      <c r="P24" s="110">
        <v>45450</v>
      </c>
      <c r="Q24" s="9"/>
      <c r="R24" s="43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36"/>
      <c r="AF24" s="36"/>
      <c r="AG24" s="36">
        <f t="shared" si="15"/>
        <v>0</v>
      </c>
      <c r="AI24" s="40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36"/>
      <c r="AX24" s="29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96"/>
    </row>
    <row r="25" spans="1:64" x14ac:dyDescent="0.3">
      <c r="A25" s="2">
        <v>21</v>
      </c>
      <c r="B25" s="3">
        <v>45462</v>
      </c>
      <c r="C25" s="3" t="s">
        <v>14</v>
      </c>
      <c r="D25" s="7" t="s">
        <v>128</v>
      </c>
      <c r="E25" s="1">
        <v>14396</v>
      </c>
      <c r="F25" s="2"/>
      <c r="G25" s="8">
        <v>242.42</v>
      </c>
      <c r="H25" s="42" t="s">
        <v>40</v>
      </c>
      <c r="I25" s="10">
        <v>242.42</v>
      </c>
      <c r="J25" s="10"/>
      <c r="K25" s="11"/>
      <c r="L25" s="127">
        <f t="shared" si="0"/>
        <v>242.42</v>
      </c>
      <c r="M25" s="2" t="s">
        <v>131</v>
      </c>
      <c r="N25" s="1" t="s">
        <v>132</v>
      </c>
      <c r="O25" s="8">
        <f t="shared" si="3"/>
        <v>242.42</v>
      </c>
      <c r="P25" s="110">
        <v>45463</v>
      </c>
      <c r="Q25" s="9"/>
      <c r="R25" s="43" t="s">
        <v>31</v>
      </c>
      <c r="S25" s="8">
        <f>SUMIFS(L5:L74,C5:C74,"APRIL",H5:H74,"VILLAGE MAINTENANCE")</f>
        <v>337.9</v>
      </c>
      <c r="T25" s="8">
        <f>SUMIFS(L5:L74,C5:C74,"MAY",H5:H74,"VILLAGE MAINTENANCE")</f>
        <v>40</v>
      </c>
      <c r="U25" s="8">
        <f>SUMIFS(L5:L74,C5:C74,"JUNE",H5:H74,"VILLAGE MAINTENANCE")</f>
        <v>270</v>
      </c>
      <c r="V25" s="8">
        <f>SUMIFS(L5:L74,C5:C74,"JULY",H5:H74,"VILLAGE MAINTENANCE")</f>
        <v>324</v>
      </c>
      <c r="W25" s="8">
        <f>SUMIFS(L5:L74,C5:C74,"AUGUST",H5:H74,"VILLAGE MAINTENANCE")</f>
        <v>240</v>
      </c>
      <c r="X25" s="8">
        <f>SUMIFS(L5:L74,C5:C74,"SEPTEMBER",H5:H74,"VILLAGE MAINTENANCE")</f>
        <v>40</v>
      </c>
      <c r="Y25" s="8">
        <f>SUMIFS(L5:L74,C5:C74,"OCTOBER",H5:H74,"VILLAGE MAINTENANCE")</f>
        <v>40</v>
      </c>
      <c r="Z25" s="8">
        <f>SUMIFS(L5:L74,C5:C74,"NOVEMBER",H5:H74,"VILLAGE MAINTENANCE")</f>
        <v>190</v>
      </c>
      <c r="AA25" s="8">
        <f>SUMIFS(L5:L74,C5:C74,"DECEMBER",H5:H74,"VILLAGE MAINTENANCE")</f>
        <v>0</v>
      </c>
      <c r="AB25" s="8">
        <f>SUMIFS(L5:L74,C5:C74,"JANUARY",H5:H74,"VILLAGE MAINTENANCE")</f>
        <v>0</v>
      </c>
      <c r="AC25" s="8">
        <f>SUMIFS(L5:L74,C5:C74,"FEBRUARY",H5:H74,"VILLAGE MAINTENANCE")</f>
        <v>0</v>
      </c>
      <c r="AD25" s="8">
        <f>SUMIFS(L5:L74,C5:C74,"MARCH",H5:H74,"VILLAGE MAINTENANCE")</f>
        <v>0</v>
      </c>
      <c r="AE25" s="36">
        <f>SUM(S25:AD25)</f>
        <v>1481.9</v>
      </c>
      <c r="AF25" s="36">
        <f>BK25</f>
        <v>2000</v>
      </c>
      <c r="AG25" s="36">
        <f t="shared" si="15"/>
        <v>518.09999999999991</v>
      </c>
      <c r="AI25" s="40" t="s">
        <v>31</v>
      </c>
      <c r="AJ25" s="8">
        <f>SUM(1100/12)</f>
        <v>91.666666666666671</v>
      </c>
      <c r="AK25" s="8">
        <f t="shared" ref="AK25:AU25" si="22">SUM(1100/12)</f>
        <v>91.666666666666671</v>
      </c>
      <c r="AL25" s="8">
        <f t="shared" si="22"/>
        <v>91.666666666666671</v>
      </c>
      <c r="AM25" s="8">
        <f t="shared" si="22"/>
        <v>91.666666666666671</v>
      </c>
      <c r="AN25" s="8">
        <f t="shared" si="22"/>
        <v>91.666666666666671</v>
      </c>
      <c r="AO25" s="8">
        <f t="shared" si="22"/>
        <v>91.666666666666671</v>
      </c>
      <c r="AP25" s="8">
        <f t="shared" si="22"/>
        <v>91.666666666666671</v>
      </c>
      <c r="AQ25" s="8">
        <f t="shared" si="22"/>
        <v>91.666666666666671</v>
      </c>
      <c r="AR25" s="8">
        <f t="shared" si="22"/>
        <v>91.666666666666671</v>
      </c>
      <c r="AS25" s="8">
        <f t="shared" si="22"/>
        <v>91.666666666666671</v>
      </c>
      <c r="AT25" s="8">
        <f t="shared" si="22"/>
        <v>91.666666666666671</v>
      </c>
      <c r="AU25" s="8">
        <f t="shared" si="22"/>
        <v>91.666666666666671</v>
      </c>
      <c r="AV25" s="36">
        <f>SUM(AJ25:AU25)</f>
        <v>1099.9999999999998</v>
      </c>
      <c r="AX25" s="29" t="s">
        <v>31</v>
      </c>
      <c r="AY25" s="8">
        <f>$BK25/12</f>
        <v>166.66666666666666</v>
      </c>
      <c r="AZ25" s="8">
        <f t="shared" ref="AZ25:BJ25" si="23">$BK25/12</f>
        <v>166.66666666666666</v>
      </c>
      <c r="BA25" s="8">
        <f t="shared" si="23"/>
        <v>166.66666666666666</v>
      </c>
      <c r="BB25" s="8">
        <f t="shared" si="23"/>
        <v>166.66666666666666</v>
      </c>
      <c r="BC25" s="8">
        <f t="shared" si="23"/>
        <v>166.66666666666666</v>
      </c>
      <c r="BD25" s="8">
        <f t="shared" si="23"/>
        <v>166.66666666666666</v>
      </c>
      <c r="BE25" s="8">
        <f t="shared" si="23"/>
        <v>166.66666666666666</v>
      </c>
      <c r="BF25" s="8">
        <f t="shared" si="23"/>
        <v>166.66666666666666</v>
      </c>
      <c r="BG25" s="8">
        <f t="shared" si="23"/>
        <v>166.66666666666666</v>
      </c>
      <c r="BH25" s="8">
        <f t="shared" si="23"/>
        <v>166.66666666666666</v>
      </c>
      <c r="BI25" s="8">
        <f t="shared" si="23"/>
        <v>166.66666666666666</v>
      </c>
      <c r="BJ25" s="8">
        <f t="shared" si="23"/>
        <v>166.66666666666666</v>
      </c>
      <c r="BK25" s="96">
        <v>2000</v>
      </c>
      <c r="BL25" s="5" t="s">
        <v>244</v>
      </c>
    </row>
    <row r="26" spans="1:64" x14ac:dyDescent="0.3">
      <c r="A26" s="2">
        <v>22</v>
      </c>
      <c r="B26" s="3">
        <v>45474</v>
      </c>
      <c r="C26" s="3" t="s">
        <v>15</v>
      </c>
      <c r="D26" s="7" t="s">
        <v>121</v>
      </c>
      <c r="E26" s="1" t="s">
        <v>133</v>
      </c>
      <c r="F26" s="2"/>
      <c r="G26" s="8">
        <v>174</v>
      </c>
      <c r="H26" s="42" t="s">
        <v>31</v>
      </c>
      <c r="I26" s="10">
        <v>174</v>
      </c>
      <c r="J26" s="10"/>
      <c r="K26" s="11"/>
      <c r="L26" s="127">
        <f t="shared" si="0"/>
        <v>174</v>
      </c>
      <c r="M26" s="2" t="s">
        <v>134</v>
      </c>
      <c r="N26" s="1" t="s">
        <v>135</v>
      </c>
      <c r="O26" s="8">
        <f t="shared" si="3"/>
        <v>174</v>
      </c>
      <c r="P26" s="110">
        <v>45474</v>
      </c>
      <c r="Q26" s="9"/>
      <c r="R26" s="43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36"/>
      <c r="AF26" s="36"/>
      <c r="AG26" s="36">
        <f t="shared" si="15"/>
        <v>0</v>
      </c>
      <c r="AI26" s="40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36"/>
      <c r="AX26" s="2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96"/>
    </row>
    <row r="27" spans="1:64" x14ac:dyDescent="0.3">
      <c r="A27" s="2">
        <v>23</v>
      </c>
      <c r="B27" s="3">
        <v>45474</v>
      </c>
      <c r="C27" s="3" t="s">
        <v>15</v>
      </c>
      <c r="D27" s="7" t="s">
        <v>72</v>
      </c>
      <c r="E27" s="1"/>
      <c r="F27" s="2"/>
      <c r="G27" s="8">
        <v>9.2799999999999994</v>
      </c>
      <c r="H27" s="42" t="s">
        <v>27</v>
      </c>
      <c r="I27" s="10">
        <v>7.73</v>
      </c>
      <c r="J27" s="10"/>
      <c r="K27" s="11">
        <v>1.55</v>
      </c>
      <c r="L27" s="127">
        <f t="shared" si="0"/>
        <v>9.2800000000000011</v>
      </c>
      <c r="M27" s="2" t="s">
        <v>140</v>
      </c>
      <c r="N27" s="1" t="s">
        <v>136</v>
      </c>
      <c r="O27" s="8">
        <f t="shared" si="3"/>
        <v>9.2800000000000011</v>
      </c>
      <c r="P27" s="110">
        <v>45474</v>
      </c>
      <c r="Q27" s="9"/>
      <c r="R27" s="43" t="s">
        <v>46</v>
      </c>
      <c r="S27" s="8">
        <f>SUMIFS(L5:L74,C5:C74,"APRIL",H5:H74,"SECTION 137")</f>
        <v>0</v>
      </c>
      <c r="T27" s="8">
        <f>SUMIFS(L5:L74,C5:C74,"MAY",H5:H74,"SECTION 137")</f>
        <v>0</v>
      </c>
      <c r="U27" s="8">
        <f>SUMIFS(L5:L74,C5:C74,"JUNE",H5:H74,"SECTION 137")</f>
        <v>0</v>
      </c>
      <c r="V27" s="8">
        <f>SUMIFS(L5:L74,C5:C74,"JULY",H5:H74,"SECTION 137")</f>
        <v>0</v>
      </c>
      <c r="W27" s="8">
        <f>SUMIFS(L5:L74,C5:C74,"AUGUST",H5:H74,"SECTION 137")</f>
        <v>0</v>
      </c>
      <c r="X27" s="8">
        <f>SUMIFS(L5:L74,C5:C74,"SEPTEMBER",H5:H74,"SECTION 137")</f>
        <v>0</v>
      </c>
      <c r="Y27" s="8">
        <f>SUMIFS(L5:L74,C5:C74,"OCTOBER",H5:H74,"SECTION 137")</f>
        <v>0</v>
      </c>
      <c r="Z27" s="8">
        <f>SUMIFS(L5:L74,C5:C74,"NOVEMBER",H5:H74,"SECTION 137")</f>
        <v>0</v>
      </c>
      <c r="AA27" s="8">
        <f>SUMIFS(L5:L74,C5:C74,"DECEMBER",H5:H74,"SECTION 137")</f>
        <v>0</v>
      </c>
      <c r="AB27" s="8">
        <f>SUMIFS(L5:L74,C5:C74,"JANUARY",H5:H74,"SECTION 137")</f>
        <v>0</v>
      </c>
      <c r="AC27" s="8">
        <f>SUMIFS(L5:L74,C5:C74,"FEBRUARY",H5:H74,"SECTION 137")</f>
        <v>0</v>
      </c>
      <c r="AD27" s="8">
        <f>SUMIFS(L5:L74,C5:C74,"MARCH",H5:H74,"SECTION 137")</f>
        <v>0</v>
      </c>
      <c r="AE27" s="36">
        <f>SUM(S27:AD27)</f>
        <v>0</v>
      </c>
      <c r="AF27" s="36">
        <f>BK27</f>
        <v>0</v>
      </c>
      <c r="AG27" s="36">
        <f t="shared" si="15"/>
        <v>0</v>
      </c>
      <c r="AI27" s="40" t="s">
        <v>46</v>
      </c>
      <c r="AJ27" s="8">
        <f>SUM(1200/12)</f>
        <v>100</v>
      </c>
      <c r="AK27" s="8">
        <f t="shared" ref="AK27:AU27" si="24">SUM(1200/12)</f>
        <v>100</v>
      </c>
      <c r="AL27" s="8">
        <f t="shared" si="24"/>
        <v>100</v>
      </c>
      <c r="AM27" s="8">
        <f t="shared" si="24"/>
        <v>100</v>
      </c>
      <c r="AN27" s="8">
        <f t="shared" si="24"/>
        <v>100</v>
      </c>
      <c r="AO27" s="8">
        <f t="shared" si="24"/>
        <v>100</v>
      </c>
      <c r="AP27" s="8">
        <f t="shared" si="24"/>
        <v>100</v>
      </c>
      <c r="AQ27" s="8">
        <f t="shared" si="24"/>
        <v>100</v>
      </c>
      <c r="AR27" s="8">
        <f t="shared" si="24"/>
        <v>100</v>
      </c>
      <c r="AS27" s="8">
        <f t="shared" si="24"/>
        <v>100</v>
      </c>
      <c r="AT27" s="8">
        <f t="shared" si="24"/>
        <v>100</v>
      </c>
      <c r="AU27" s="8">
        <f t="shared" si="24"/>
        <v>100</v>
      </c>
      <c r="AV27" s="36">
        <f>SUM(AJ27:AU27)</f>
        <v>1200</v>
      </c>
      <c r="AX27" s="29" t="s">
        <v>46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96">
        <v>0</v>
      </c>
    </row>
    <row r="28" spans="1:64" x14ac:dyDescent="0.3">
      <c r="A28" s="2">
        <v>24</v>
      </c>
      <c r="B28" s="3">
        <v>45474</v>
      </c>
      <c r="C28" s="3" t="s">
        <v>15</v>
      </c>
      <c r="D28" s="7" t="s">
        <v>72</v>
      </c>
      <c r="E28" s="1"/>
      <c r="F28" s="2"/>
      <c r="G28" s="8">
        <v>13.99</v>
      </c>
      <c r="H28" s="42" t="s">
        <v>27</v>
      </c>
      <c r="I28" s="10">
        <v>11.66</v>
      </c>
      <c r="J28" s="10"/>
      <c r="K28" s="11">
        <v>2.33</v>
      </c>
      <c r="L28" s="127">
        <f t="shared" si="0"/>
        <v>13.99</v>
      </c>
      <c r="M28" s="2" t="s">
        <v>141</v>
      </c>
      <c r="N28" s="1" t="s">
        <v>137</v>
      </c>
      <c r="O28" s="8">
        <f t="shared" si="3"/>
        <v>13.99</v>
      </c>
      <c r="P28" s="110">
        <v>45474</v>
      </c>
      <c r="Q28" s="9"/>
      <c r="R28" s="43" t="s">
        <v>47</v>
      </c>
      <c r="S28" s="8">
        <f>SUMIFS(L5:L74,C5:C74,"APRIL",H5:H74,"CHRISTMAS")</f>
        <v>0</v>
      </c>
      <c r="T28" s="8">
        <f>SUMIFS(L5:L74,C5:C74,"MAY",H5:H74,"CHRISTMAS")</f>
        <v>0</v>
      </c>
      <c r="U28" s="8">
        <f>SUMIFS(L5:L74,C5:C74,"JUNE",H5:H74,"CHRISTMAS")</f>
        <v>0</v>
      </c>
      <c r="V28" s="8">
        <f>SUMIFS(L5:L74,C5:C74,"JULY",H5:H74,"CHRISTMAS")</f>
        <v>0</v>
      </c>
      <c r="W28" s="8">
        <f>SUMIFS(L5:L74,C5:C74,"AUGUST",H5:H74,"CHRISTMAS")</f>
        <v>0</v>
      </c>
      <c r="X28" s="8">
        <f>SUMIFS(L5:L74,C5:C74,"SEPTEMBER",H5:H74,"CHRISTMAS")</f>
        <v>0</v>
      </c>
      <c r="Y28" s="8">
        <f>SUMIFS(L5:L74,C5:C74,"OCTOBER",H5:H74,"CHRISTMAS")</f>
        <v>0</v>
      </c>
      <c r="Z28" s="8">
        <f>SUMIFS(L5:L74,C5:C74,"NOVEMBER",H5:H74,"CHRISTMAS")</f>
        <v>40.98</v>
      </c>
      <c r="AA28" s="8">
        <f>SUMIFS(L5:L74,C5:C74,"DECEMBER",H5:H74,"CHRISTMAS")</f>
        <v>391.55</v>
      </c>
      <c r="AB28" s="8">
        <f>SUMIFS(L6:L75,C6:C75,"JANUARY",H6:H75,"Christmas")</f>
        <v>0</v>
      </c>
      <c r="AC28" s="8">
        <f>SUMIFS(L5:L74,C5:C74,"FEBRUARY",H5:H74,"CHRISTMAS")</f>
        <v>0</v>
      </c>
      <c r="AD28" s="8">
        <f>SUMIFS(L5:L74,C5:C74,"MARCH",H5:H74,"CHRISTMAS")</f>
        <v>0</v>
      </c>
      <c r="AE28" s="36">
        <f>SUM(S28:AD28)</f>
        <v>432.53000000000003</v>
      </c>
      <c r="AF28" s="36">
        <f>BK28</f>
        <v>600</v>
      </c>
      <c r="AG28" s="36">
        <f t="shared" si="15"/>
        <v>167.46999999999997</v>
      </c>
      <c r="AI28" s="40" t="s">
        <v>47</v>
      </c>
      <c r="AJ28" s="8">
        <f>SUMIFS(AC5:AC45,T5:T45,"APRIL",Y5:Y45,"CHRISTMAS")</f>
        <v>0</v>
      </c>
      <c r="AK28" s="8">
        <f>SUMIFS(AC5:AC45,T5:T45,"MAY",Y5:Y45,"CHRISTMAS")</f>
        <v>0</v>
      </c>
      <c r="AL28" s="8">
        <f>SUMIFS(AC5:AC45,T5:T45,"JUNE",Y5:Y45,"CHRISTMAS")</f>
        <v>0</v>
      </c>
      <c r="AM28" s="8">
        <f>SUMIFS(AC5:AC45,T5:T45,"JULY",Y5:Y45,"CHRISTMAS")</f>
        <v>0</v>
      </c>
      <c r="AN28" s="8">
        <f>SUMIFS(AC5:AC45,T5:T45,"AUGUST",Y5:Y45,"CHRISTMAS")</f>
        <v>0</v>
      </c>
      <c r="AO28" s="8">
        <f>SUMIFS(AC5:AC45,T5:T45,"SEPTEMBER",Y5:Y45,"CHRISTMAS")</f>
        <v>0</v>
      </c>
      <c r="AP28" s="8">
        <f>SUMIFS(AC5:AC45,T5:T45,"OCTOBER",Y5:Y45,"CHRISTMAS")</f>
        <v>0</v>
      </c>
      <c r="AQ28" s="8">
        <f>SUMIFS(AC5:AC45,T5:T45,"NOVEMBER",Y5:Y45,"CHRISTMAS")</f>
        <v>0</v>
      </c>
      <c r="AR28" s="8">
        <v>300</v>
      </c>
      <c r="AS28" s="8">
        <f>SUMIFS(AC5:AC45,T5:T45,"JANUARY",Y5:Y45,"CHRISTMAS")</f>
        <v>0</v>
      </c>
      <c r="AT28" s="8">
        <v>0</v>
      </c>
      <c r="AU28" s="8">
        <f>SUMIFS(AC5:AC45,T5:T45,"MARCH",Y5:Y45,"CHRISTMAS")</f>
        <v>0</v>
      </c>
      <c r="AV28" s="36">
        <f>SUM(AJ28:AU28)</f>
        <v>300</v>
      </c>
      <c r="AX28" s="29" t="s">
        <v>47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f>BK28</f>
        <v>600</v>
      </c>
      <c r="BH28" s="8">
        <v>0</v>
      </c>
      <c r="BI28" s="8">
        <v>0</v>
      </c>
      <c r="BJ28" s="8">
        <v>0</v>
      </c>
      <c r="BK28" s="96">
        <v>600</v>
      </c>
      <c r="BL28" s="5" t="s">
        <v>242</v>
      </c>
    </row>
    <row r="29" spans="1:64" x14ac:dyDescent="0.3">
      <c r="A29" s="2">
        <v>25</v>
      </c>
      <c r="B29" s="3">
        <v>45474</v>
      </c>
      <c r="C29" s="2" t="s">
        <v>15</v>
      </c>
      <c r="D29" s="7" t="s">
        <v>99</v>
      </c>
      <c r="E29" s="1">
        <v>1294</v>
      </c>
      <c r="F29" s="2"/>
      <c r="G29" s="8">
        <v>40</v>
      </c>
      <c r="H29" s="42" t="s">
        <v>31</v>
      </c>
      <c r="I29" s="10">
        <v>40</v>
      </c>
      <c r="J29" s="10"/>
      <c r="K29" s="11"/>
      <c r="L29" s="127">
        <f t="shared" si="0"/>
        <v>40</v>
      </c>
      <c r="M29" s="2" t="s">
        <v>142</v>
      </c>
      <c r="N29" s="1" t="s">
        <v>138</v>
      </c>
      <c r="O29" s="8">
        <f t="shared" si="3"/>
        <v>40</v>
      </c>
      <c r="P29" s="110">
        <v>45474</v>
      </c>
      <c r="Q29" s="9"/>
      <c r="R29" s="4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36"/>
      <c r="AF29" s="36"/>
      <c r="AG29" s="36">
        <f t="shared" si="15"/>
        <v>0</v>
      </c>
      <c r="AI29" s="41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36"/>
      <c r="AX29" s="33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96"/>
    </row>
    <row r="30" spans="1:64" x14ac:dyDescent="0.3">
      <c r="A30" s="2">
        <v>26</v>
      </c>
      <c r="B30" s="3">
        <v>45474</v>
      </c>
      <c r="C30" s="2" t="s">
        <v>15</v>
      </c>
      <c r="D30" s="7" t="s">
        <v>70</v>
      </c>
      <c r="E30" s="1"/>
      <c r="F30" s="2"/>
      <c r="G30" s="8">
        <v>404.16</v>
      </c>
      <c r="H30" s="42" t="s">
        <v>105</v>
      </c>
      <c r="I30" s="10">
        <v>404.16</v>
      </c>
      <c r="J30" s="10"/>
      <c r="K30" s="11"/>
      <c r="L30" s="127">
        <f t="shared" si="0"/>
        <v>404.16</v>
      </c>
      <c r="M30" s="2" t="s">
        <v>143</v>
      </c>
      <c r="N30" s="1" t="s">
        <v>139</v>
      </c>
      <c r="O30" s="8">
        <f t="shared" si="3"/>
        <v>404.16</v>
      </c>
      <c r="P30" s="110">
        <v>45474</v>
      </c>
      <c r="Q30" s="9"/>
      <c r="R30" s="43" t="s">
        <v>42</v>
      </c>
      <c r="S30" s="8">
        <f>SUMIFS(L5:L74,C5:C74,"APRIL",H5:H74,"DEFIBRILATOR")</f>
        <v>350</v>
      </c>
      <c r="T30" s="8">
        <f>SUMIFS(L5:L74,C5:C74,"MAY",H5:H74,"DEFIBRILATOR")</f>
        <v>0</v>
      </c>
      <c r="U30" s="8">
        <f>SUMIFS(L5:L74,C5:C74,"JUNE",H5:H74,"DEFIBRILATOR")</f>
        <v>0</v>
      </c>
      <c r="V30" s="8">
        <f>SUMIFS(L5:L74,C5:C74,"JULY",H5:H74,"DEFIBRILATOR")</f>
        <v>0</v>
      </c>
      <c r="W30" s="8">
        <f>SUMIFS(L5:L74,C5:C74,"AUGUST",H5:H74,"DEFIBRILATOR")</f>
        <v>0</v>
      </c>
      <c r="X30" s="8">
        <f>SUMIFS(L5:L74,C5:C74,"SEPTEMBER",H5:H74,"DEFIBRILATOR")</f>
        <v>0</v>
      </c>
      <c r="Y30" s="8">
        <f>SUMIFS(L5:L74,C5:C74,"OCTOBER",H5:H74,"DEFIBRILATOR")</f>
        <v>0</v>
      </c>
      <c r="Z30" s="8">
        <f>SUMIFS(L5:L74,C5:C74,"NOVEMBER",H5:H74,"DEFIBRILATOR")</f>
        <v>0</v>
      </c>
      <c r="AA30" s="8">
        <f>SUMIFS(L5:L74,C5:C74,"DECEMBER",H5:H74,"DEFIBRILATOR")</f>
        <v>0</v>
      </c>
      <c r="AB30" s="8">
        <f>SUMIFS(L5:L74,C5:C74,"JANUARY",H5:H74,"DEFIBRILATOR")</f>
        <v>0</v>
      </c>
      <c r="AC30" s="8">
        <f>SUMIFS(L5:L74,C5:C74,"FEBRUARY",H5:H74,"DEFIBRILATOR")</f>
        <v>0</v>
      </c>
      <c r="AD30" s="8">
        <f>SUMIFS(L5:L74,C5:C74,"MARCH",H5:H74,"DEFIBRILATOR")</f>
        <v>0</v>
      </c>
      <c r="AE30" s="36">
        <f t="shared" si="4"/>
        <v>350</v>
      </c>
      <c r="AF30" s="36">
        <f>BK30</f>
        <v>75</v>
      </c>
      <c r="AG30" s="36">
        <f t="shared" si="15"/>
        <v>-275</v>
      </c>
      <c r="AI30" s="40" t="s">
        <v>42</v>
      </c>
      <c r="AJ30" s="8">
        <f>SUMIFS(AC5:AC45,T5:T45,"APRIL",Y5:Y45,"DEFIB")</f>
        <v>0</v>
      </c>
      <c r="AK30" s="8">
        <f>SUMIFS(AC5:AC45,T5:T45,"MAY",Y5:Y45,"DEFIB")</f>
        <v>0</v>
      </c>
      <c r="AL30" s="8">
        <f>SUMIFS(AC5:AC45,T5:T45,"JUNE",Y5:Y45,"DEFIB")</f>
        <v>0</v>
      </c>
      <c r="AM30" s="8">
        <v>50</v>
      </c>
      <c r="AN30" s="8">
        <f>SUMIFS(AC5:AC45,T5:T45,"AUGUST",Y5:Y45,"DEFIB")</f>
        <v>0</v>
      </c>
      <c r="AO30" s="8">
        <f>SUMIFS(AC5:AC45,T5:T45,"SEPTEMBER",Y5:Y45,"DEFIB")</f>
        <v>0</v>
      </c>
      <c r="AP30" s="8">
        <f>SUMIFS(AC5:AC45,T5:T45,"OCTOBER",Y5:Y45,"DEFIB")</f>
        <v>0</v>
      </c>
      <c r="AQ30" s="8">
        <f>SUMIFS(AC5:AC45,T5:T45,"NOVEMBER",Y5:Y45,"DEFIB")</f>
        <v>0</v>
      </c>
      <c r="AR30" s="8">
        <v>50</v>
      </c>
      <c r="AS30" s="8">
        <f>SUMIFS(AC5:AC45,T5:T45,"JANUARY",Y5:Y45,"DEFIB")</f>
        <v>0</v>
      </c>
      <c r="AT30" s="8">
        <f>SUMIFS(AC5:AC45,T5:T45,"FEBRUARY",Y5:Y45,"DEFIB")</f>
        <v>0</v>
      </c>
      <c r="AU30" s="8">
        <f>SUMIFS(AC5:AC45,T5:T45,"MARCH",Y5:Y45,"DEFIB")</f>
        <v>0</v>
      </c>
      <c r="AV30" s="36">
        <f t="shared" ref="AV30" si="25">SUM(AJ30:AU30)</f>
        <v>100</v>
      </c>
      <c r="AX30" s="29" t="s">
        <v>42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f>BK30</f>
        <v>75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96">
        <v>75</v>
      </c>
      <c r="BL30" s="5" t="s">
        <v>243</v>
      </c>
    </row>
    <row r="31" spans="1:64" x14ac:dyDescent="0.3">
      <c r="A31" s="2">
        <v>27</v>
      </c>
      <c r="B31" s="3">
        <v>45484</v>
      </c>
      <c r="C31" s="2" t="s">
        <v>15</v>
      </c>
      <c r="D31" s="7" t="s">
        <v>80</v>
      </c>
      <c r="E31" s="1"/>
      <c r="F31" s="8"/>
      <c r="G31" s="8">
        <v>917.63</v>
      </c>
      <c r="H31" s="42" t="s">
        <v>50</v>
      </c>
      <c r="I31" s="10">
        <v>873.93</v>
      </c>
      <c r="J31" s="10"/>
      <c r="K31" s="11">
        <v>43.7</v>
      </c>
      <c r="L31" s="127">
        <f t="shared" si="0"/>
        <v>917.63</v>
      </c>
      <c r="M31" s="2" t="s">
        <v>144</v>
      </c>
      <c r="N31" s="1" t="s">
        <v>145</v>
      </c>
      <c r="O31" s="8">
        <f t="shared" si="3"/>
        <v>917.63</v>
      </c>
      <c r="P31" s="110">
        <v>45484</v>
      </c>
      <c r="Q31" s="9"/>
      <c r="R31" s="43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36"/>
      <c r="AF31" s="36"/>
      <c r="AG31" s="36">
        <f t="shared" si="15"/>
        <v>0</v>
      </c>
      <c r="AI31" s="40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36"/>
      <c r="AX31" s="29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96"/>
    </row>
    <row r="32" spans="1:64" x14ac:dyDescent="0.3">
      <c r="A32" s="2" t="s">
        <v>149</v>
      </c>
      <c r="B32" s="3">
        <v>45488</v>
      </c>
      <c r="C32" s="2" t="s">
        <v>15</v>
      </c>
      <c r="D32" s="7" t="s">
        <v>150</v>
      </c>
      <c r="E32" s="1"/>
      <c r="F32" s="8">
        <v>882.79</v>
      </c>
      <c r="H32" s="42"/>
      <c r="I32" s="10"/>
      <c r="J32" s="10"/>
      <c r="K32" s="11"/>
      <c r="L32" s="127"/>
      <c r="M32" s="2"/>
      <c r="N32" s="132" t="s">
        <v>151</v>
      </c>
      <c r="O32" s="8">
        <v>0</v>
      </c>
      <c r="P32" s="110"/>
      <c r="Q32" s="9"/>
      <c r="R32" s="43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36"/>
      <c r="AF32" s="36"/>
      <c r="AG32" s="36"/>
      <c r="AI32" s="40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36"/>
      <c r="AX32" s="29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96"/>
    </row>
    <row r="33" spans="1:65" x14ac:dyDescent="0.3">
      <c r="A33" s="2">
        <v>28</v>
      </c>
      <c r="B33" s="3">
        <v>45498</v>
      </c>
      <c r="C33" s="2" t="s">
        <v>15</v>
      </c>
      <c r="D33" s="7" t="s">
        <v>121</v>
      </c>
      <c r="E33" s="1" t="s">
        <v>146</v>
      </c>
      <c r="F33" s="2"/>
      <c r="G33" s="46">
        <v>110</v>
      </c>
      <c r="H33" s="42" t="s">
        <v>31</v>
      </c>
      <c r="I33" s="10">
        <v>110</v>
      </c>
      <c r="J33" s="10"/>
      <c r="K33" s="11"/>
      <c r="L33" s="127">
        <f t="shared" si="0"/>
        <v>110</v>
      </c>
      <c r="M33" s="2" t="s">
        <v>147</v>
      </c>
      <c r="N33" s="1" t="s">
        <v>148</v>
      </c>
      <c r="O33" s="8">
        <f t="shared" si="3"/>
        <v>110</v>
      </c>
      <c r="P33" s="110">
        <v>45498</v>
      </c>
      <c r="Q33" s="9"/>
      <c r="R33" s="43" t="s">
        <v>36</v>
      </c>
      <c r="S33" s="8">
        <f>SUMIFS(L5:L74,C5:C74,"APRIL",H5:H74,"PLAY AREA")</f>
        <v>0</v>
      </c>
      <c r="T33" s="8">
        <f>SUMIFS(L5:L74,C5:C74,"MAY",H5:H74,"PLAY AREA")</f>
        <v>0</v>
      </c>
      <c r="U33" s="8">
        <f>SUMIFS(L5:L74,C5:C74,"JUNE",H5:H74,"PLAY AREA")</f>
        <v>0</v>
      </c>
      <c r="V33" s="8">
        <f>SUMIFS(L5:L74,C5:C74,"JULY",H5:H74,"PLAY AREA")</f>
        <v>0</v>
      </c>
      <c r="W33" s="8">
        <f>SUMIFS(L5:L74,C5:C74,"AUGUST",H5:H74,"PLAY AREA")</f>
        <v>0</v>
      </c>
      <c r="X33" s="8">
        <f>SUMIFS(L5:L74,C5:C74,"SEPTEMBER",H5:H74,"PLAY AREA")</f>
        <v>165.3</v>
      </c>
      <c r="Y33" s="8">
        <f>SUMIFS(L5:L74,C5:C74,"OCTOBER",H5:H74,"PLAY AREA")</f>
        <v>220</v>
      </c>
      <c r="Z33" s="8">
        <f>SUMIFS(L5:L74,C5:C74,"NOVEMBER",H5:H74,"PLAY AREA")</f>
        <v>22.5</v>
      </c>
      <c r="AA33" s="8">
        <f>SUMIFS(L5:L74,C5:C74,"DECEMBER",H5:H74,"PLAY AREA")</f>
        <v>93.9</v>
      </c>
      <c r="AB33" s="8">
        <f>SUMIFS(L5:L74,C5:C74,"JANUARY",H5:H74,"PLAY AREA")</f>
        <v>0</v>
      </c>
      <c r="AC33" s="8">
        <f>SUMIFS(L5:L74,C5:C74,"FEBRUARY",H5:H74,"PLAY AREA")</f>
        <v>0</v>
      </c>
      <c r="AD33" s="8">
        <f>SUMIFS(L5:L74,C5:C74,"MARCH",H5:H74,"PLAY AREA")</f>
        <v>0</v>
      </c>
      <c r="AE33" s="36">
        <f t="shared" si="4"/>
        <v>501.70000000000005</v>
      </c>
      <c r="AF33" s="36">
        <f>BK33</f>
        <v>800</v>
      </c>
      <c r="AG33" s="36">
        <f t="shared" si="15"/>
        <v>298.29999999999995</v>
      </c>
      <c r="AI33" s="40" t="s">
        <v>36</v>
      </c>
      <c r="AJ33" s="8">
        <f>SUMIFS(AC5:AC45,T5:T45,"APRIL",Y5:Y45,"PLAY AREA")</f>
        <v>0</v>
      </c>
      <c r="AK33" s="8">
        <f>SUMIFS(AC5:AC45,T5:T45,"MAY",Y5:Y45,"PLAY AREA")</f>
        <v>0</v>
      </c>
      <c r="AL33" s="8">
        <f>SUMIFS(AC5:AC45,T5:T45,"JUNE",Y5:Y45,"PLAY AREA")</f>
        <v>0</v>
      </c>
      <c r="AM33" s="8">
        <v>75</v>
      </c>
      <c r="AN33" s="8">
        <f>SUMIFS(AC5:AC45,T5:T45,"AUGUST",Y5:Y45,"PLAY AREA")</f>
        <v>0</v>
      </c>
      <c r="AO33" s="8">
        <f>SUMIFS(AC5:AC45,T5:T45,"SEPTEMBER",Y5:Y45,"PLAY AREA")</f>
        <v>0</v>
      </c>
      <c r="AP33" s="8">
        <f>SUMIFS(AC5:AC45,T5:T45,"OCTOBER",Y5:Y45,"PLAY AREA")</f>
        <v>0</v>
      </c>
      <c r="AQ33" s="8">
        <f>SUMIFS(AC5:AC45,T5:T45,"NOVEMBER",Y5:Y45,"PLAY AREA")</f>
        <v>0</v>
      </c>
      <c r="AR33" s="8">
        <v>75</v>
      </c>
      <c r="AS33" s="8">
        <f>SUMIFS(AC5:AC45,T5:T45,"JANUARY",Y5:Y45,"PLAY AREA")</f>
        <v>0</v>
      </c>
      <c r="AT33" s="8">
        <f>SUMIFS(AC5:AC45,T5:T45,"FEBRUARY",Y5:Y45,"PLAY AREA")</f>
        <v>0</v>
      </c>
      <c r="AU33" s="8">
        <f>SUMIFS(AC5:AC45,T5:T45,"MARCH",Y5:Y45,"PLAY AREA")</f>
        <v>0</v>
      </c>
      <c r="AV33" s="36">
        <f t="shared" ref="AV33" si="26">SUM(AJ33:AU33)</f>
        <v>150</v>
      </c>
      <c r="AX33" s="29" t="s">
        <v>36</v>
      </c>
      <c r="AY33" s="8">
        <f>BK33/4</f>
        <v>200</v>
      </c>
      <c r="AZ33" s="8">
        <v>0</v>
      </c>
      <c r="BA33" s="8">
        <v>0</v>
      </c>
      <c r="BB33" s="8">
        <f>BK33/4</f>
        <v>200</v>
      </c>
      <c r="BC33" s="8">
        <v>0</v>
      </c>
      <c r="BD33" s="8">
        <v>0</v>
      </c>
      <c r="BE33" s="8">
        <f>BK33/4</f>
        <v>200</v>
      </c>
      <c r="BF33" s="8">
        <v>0</v>
      </c>
      <c r="BG33" s="8">
        <v>0</v>
      </c>
      <c r="BH33" s="8">
        <f>BK33/4</f>
        <v>200</v>
      </c>
      <c r="BI33" s="8">
        <v>0</v>
      </c>
      <c r="BJ33" s="8">
        <v>0</v>
      </c>
      <c r="BK33" s="96">
        <v>800</v>
      </c>
      <c r="BL33" s="5" t="s">
        <v>246</v>
      </c>
    </row>
    <row r="34" spans="1:65" x14ac:dyDescent="0.3">
      <c r="A34" s="2">
        <v>29</v>
      </c>
      <c r="B34" s="3">
        <v>45506</v>
      </c>
      <c r="C34" s="2" t="s">
        <v>16</v>
      </c>
      <c r="D34" s="34" t="s">
        <v>99</v>
      </c>
      <c r="E34" s="5">
        <v>1308</v>
      </c>
      <c r="F34" s="2"/>
      <c r="G34" s="8">
        <v>40</v>
      </c>
      <c r="H34" s="42" t="s">
        <v>31</v>
      </c>
      <c r="I34" s="6">
        <v>40</v>
      </c>
      <c r="J34" s="10"/>
      <c r="K34" s="11"/>
      <c r="L34" s="127">
        <f t="shared" si="0"/>
        <v>40</v>
      </c>
      <c r="M34" s="2" t="s">
        <v>152</v>
      </c>
      <c r="N34" s="1" t="s">
        <v>153</v>
      </c>
      <c r="O34" s="8">
        <f t="shared" si="3"/>
        <v>40</v>
      </c>
      <c r="P34" s="110">
        <v>45506</v>
      </c>
      <c r="Q34" s="9"/>
      <c r="R34" s="43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36"/>
      <c r="AF34" s="36"/>
      <c r="AG34" s="36">
        <f t="shared" si="15"/>
        <v>0</v>
      </c>
      <c r="AI34" s="40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36"/>
      <c r="AX34" s="29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96"/>
    </row>
    <row r="35" spans="1:65" x14ac:dyDescent="0.3">
      <c r="A35" s="2">
        <v>30</v>
      </c>
      <c r="B35" s="3">
        <v>45506</v>
      </c>
      <c r="C35" s="2" t="s">
        <v>16</v>
      </c>
      <c r="D35" s="7" t="s">
        <v>70</v>
      </c>
      <c r="E35" s="1"/>
      <c r="F35" s="2"/>
      <c r="G35" s="8">
        <v>404.16</v>
      </c>
      <c r="H35" s="42" t="s">
        <v>105</v>
      </c>
      <c r="I35" s="10">
        <v>404.16</v>
      </c>
      <c r="J35" s="10"/>
      <c r="K35" s="11"/>
      <c r="L35" s="127">
        <f t="shared" si="0"/>
        <v>404.16</v>
      </c>
      <c r="M35" s="2" t="s">
        <v>154</v>
      </c>
      <c r="N35" s="1" t="s">
        <v>156</v>
      </c>
      <c r="O35" s="8">
        <f t="shared" si="3"/>
        <v>404.16</v>
      </c>
      <c r="P35" s="110">
        <v>45506</v>
      </c>
      <c r="Q35" s="9"/>
      <c r="R35" s="43" t="s">
        <v>43</v>
      </c>
      <c r="S35" s="8">
        <f>SUMIFS(L5:L74,C5:C74,"APRIL",H5:H74,"FIXED ASSETS")</f>
        <v>0</v>
      </c>
      <c r="T35" s="8">
        <f>SUMIFS(L5:L74,C5:C74,"MAY",H5:H74,"FIXED ASSETS")</f>
        <v>0</v>
      </c>
      <c r="U35" s="8">
        <f>SUMIFS(L5:L74,C5:C74,"JUNE",H5:H74,"FIXED ASSETS")</f>
        <v>0</v>
      </c>
      <c r="V35" s="8">
        <f>SUMIFS(L5:L74,C5:C74,"JULY",H5:H74,"FIXED ASSETS")</f>
        <v>0</v>
      </c>
      <c r="W35" s="8">
        <f>SUMIFS(L5:L74,C5:C74,"AUGUST",H5:H74,"FIXED ASSETS")</f>
        <v>0</v>
      </c>
      <c r="X35" s="8">
        <f>SUMIFS(L5:L74,C5:C74,"SEPTEMBER",H5:H74,"FIXED ASSETS")</f>
        <v>0</v>
      </c>
      <c r="Y35" s="8">
        <f>SUMIFS(L5:L74,C5:C74,"OCTOBER",H5:H74,"FIXED ASSETS")</f>
        <v>0</v>
      </c>
      <c r="Z35" s="8">
        <f>SUMIFS(L5:L74,C5:C74,"NOVEMBER",H5:H74,"FIXED ASSETS")</f>
        <v>0</v>
      </c>
      <c r="AA35" s="8">
        <f>SUMIFS(L5:L74,C5:C74,"DECEMBER",H5:H74,"FIXED ASSETS")</f>
        <v>0</v>
      </c>
      <c r="AB35" s="8">
        <f>SUMIFS(L5:L74,C5:C74,"JANUARY",H5:H74,"FIXED ASSETS")</f>
        <v>0</v>
      </c>
      <c r="AC35" s="8">
        <f>SUMIFS(L5:L74,C5:C74,"FEBRUARY",H5:H74,"FIXED ASSETS")</f>
        <v>0</v>
      </c>
      <c r="AD35" s="8">
        <f>SUMIFS(L5:L74,C5:C74,"MARCH",H5:H74,"FIXED ASSETS")</f>
        <v>0</v>
      </c>
      <c r="AE35" s="36">
        <f t="shared" ref="AE35" si="27">SUM(S35:AD35)</f>
        <v>0</v>
      </c>
      <c r="AF35" s="36">
        <f>BK35</f>
        <v>0</v>
      </c>
      <c r="AG35" s="36">
        <f t="shared" si="15"/>
        <v>0</v>
      </c>
      <c r="AI35" s="40" t="s">
        <v>43</v>
      </c>
      <c r="AJ35" s="8">
        <f>SUMIFS(AC5:AC45,T5:T45,"APRIL",Y5:Y45,"FIXED ASSETS")</f>
        <v>0</v>
      </c>
      <c r="AK35" s="8">
        <f>SUMIFS(AC5:AC45,T5:T45,"MAY",Y5:Y45,"FIXED ASSETS")</f>
        <v>0</v>
      </c>
      <c r="AL35" s="8">
        <f>SUMIFS(AC5:AC45,T5:T45,"JUNE",Y5:Y45,"FIXED ASSETS")</f>
        <v>0</v>
      </c>
      <c r="AM35" s="8">
        <f>SUMIFS(AC5:AC45,T5:T45,"JULY",Y5:Y45,"FIXED ASSETS")</f>
        <v>0</v>
      </c>
      <c r="AN35" s="8">
        <f>SUMIFS(AC5:AC45,T5:T45,"AUGUST",Y5:Y45,"FIXED ASSETS")</f>
        <v>0</v>
      </c>
      <c r="AO35" s="8">
        <f>SUMIFS(AC5:AC45,T5:T45,"SEPTEMBER",Y5:Y45,"FIXED ASSETS")</f>
        <v>0</v>
      </c>
      <c r="AP35" s="8">
        <f>SUMIFS(AC5:AC45,T5:T45,"OCTOBER",Y5:Y45,"FIXED ASSETS")</f>
        <v>0</v>
      </c>
      <c r="AQ35" s="8">
        <f>SUMIFS(AC5:AC45,T5:T45,"NOVEMBER",Y5:Y45,"FIXED ASSETS")</f>
        <v>0</v>
      </c>
      <c r="AR35" s="8">
        <f>SUMIFS(AC5:AC45,T5:T45,"DECEMBER",Y5:Y45,"FIXED ASSETS")</f>
        <v>0</v>
      </c>
      <c r="AS35" s="8">
        <f>SUMIFS(AC5:AC45,T5:T45,"JANUARY",Y5:Y45,"FIXED ASSETS")</f>
        <v>0</v>
      </c>
      <c r="AT35" s="8">
        <f>SUMIFS(AC5:AC45,T5:T45,"FEBRUARY",Y5:Y45,"FIXED ASSETS")</f>
        <v>0</v>
      </c>
      <c r="AU35" s="8">
        <f>SUMIFS(AC5:AC45,T5:T45,"MARCH",Y5:Y45,"FIXED ASSETS")</f>
        <v>0</v>
      </c>
      <c r="AV35" s="36">
        <f t="shared" ref="AV35" si="28">SUM(AJ35:AU35)</f>
        <v>0</v>
      </c>
      <c r="AX35" s="29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96"/>
    </row>
    <row r="36" spans="1:65" x14ac:dyDescent="0.3">
      <c r="A36" s="2">
        <v>31</v>
      </c>
      <c r="B36" s="3">
        <v>45506</v>
      </c>
      <c r="C36" s="2" t="s">
        <v>16</v>
      </c>
      <c r="D36" s="7" t="s">
        <v>77</v>
      </c>
      <c r="E36" s="1"/>
      <c r="F36" s="2"/>
      <c r="G36" s="8">
        <v>200</v>
      </c>
      <c r="H36" s="42" t="s">
        <v>31</v>
      </c>
      <c r="I36" s="10">
        <v>200</v>
      </c>
      <c r="J36" s="10"/>
      <c r="K36" s="11"/>
      <c r="L36" s="127">
        <f t="shared" si="0"/>
        <v>200</v>
      </c>
      <c r="M36" s="2" t="s">
        <v>155</v>
      </c>
      <c r="N36" s="1" t="s">
        <v>157</v>
      </c>
      <c r="O36" s="8">
        <f t="shared" si="3"/>
        <v>200</v>
      </c>
      <c r="P36" s="110">
        <v>45506</v>
      </c>
      <c r="Q36" s="9"/>
      <c r="R36" s="43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36"/>
      <c r="AF36" s="36"/>
      <c r="AG36" s="36">
        <f t="shared" si="15"/>
        <v>0</v>
      </c>
      <c r="AI36" s="40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36"/>
      <c r="AX36" s="29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96"/>
    </row>
    <row r="37" spans="1:65" x14ac:dyDescent="0.3">
      <c r="A37" s="2">
        <v>32</v>
      </c>
      <c r="B37" s="3">
        <v>45520</v>
      </c>
      <c r="C37" s="2" t="s">
        <v>16</v>
      </c>
      <c r="D37" s="7" t="s">
        <v>158</v>
      </c>
      <c r="E37" s="1"/>
      <c r="F37" s="2"/>
      <c r="G37" s="8">
        <v>250</v>
      </c>
      <c r="H37" s="42" t="s">
        <v>40</v>
      </c>
      <c r="I37" s="10">
        <v>250</v>
      </c>
      <c r="J37" s="10"/>
      <c r="K37" s="11"/>
      <c r="L37" s="127">
        <f t="shared" si="0"/>
        <v>250</v>
      </c>
      <c r="M37" s="2" t="s">
        <v>159</v>
      </c>
      <c r="N37" s="1" t="s">
        <v>160</v>
      </c>
      <c r="O37" s="8">
        <f t="shared" si="3"/>
        <v>250</v>
      </c>
      <c r="P37" s="110">
        <v>45523</v>
      </c>
      <c r="Q37" s="9"/>
      <c r="R37" s="43" t="s">
        <v>59</v>
      </c>
      <c r="S37" s="8">
        <f>SUMIFS(L5:L74,C5:C74,"APRIL",H5:H74,"TRAFFIC CALMING")</f>
        <v>0</v>
      </c>
      <c r="T37" s="8">
        <f>SUMIFS(L5:L74,C5:C74,"MAY",H5:H74,"TRAFFIC CALMING")</f>
        <v>0</v>
      </c>
      <c r="U37" s="8">
        <f>SUMIFS(L5:L74,C5:C74,"JUNE",H5:H74,"TRAFFIC CALMING")</f>
        <v>0</v>
      </c>
      <c r="V37" s="8">
        <f>SUMIFS(L5:L74,C5:C74,"JULY",H5:H74,"TRAFFIC CALMING")</f>
        <v>0</v>
      </c>
      <c r="W37" s="8">
        <f>SUMIFS(L5:L74,C5:C74,"AUGUST",H5:H74,"TRAFFIC CALMING")</f>
        <v>0</v>
      </c>
      <c r="X37" s="8">
        <f>SUMIFS(L5:L74,C5:C74,"SEPTEMBER",H5:H74,"TRAFFIC CALMING")</f>
        <v>0</v>
      </c>
      <c r="Y37" s="8">
        <f>SUMIFS(L5:L74,C5:C74,"OCTOBER",H5:H74,"TRAFFIC CALMING")</f>
        <v>0</v>
      </c>
      <c r="Z37" s="8">
        <f>SUMIFS(L5:L74,C5:C74,"NOVEMBER",H5:H74,"TRAFFIC CALMING")</f>
        <v>0</v>
      </c>
      <c r="AA37" s="8">
        <f>SUMIFS(L5:L74,C5:C74,"DECEMBER",H5:H74,"TRAFFIC CALMING")</f>
        <v>0</v>
      </c>
      <c r="AB37" s="8">
        <f>SUMIFS(L5:L74,C5:C74,"JANUARY",H5:H74,"TRAFFIC CALMING")</f>
        <v>0</v>
      </c>
      <c r="AC37" s="8">
        <f>SUMIFS(L5:L74,C5:C74,"FEBRUARY",H5:H74,"TRAFFIC CALMING")</f>
        <v>0</v>
      </c>
      <c r="AD37" s="8">
        <f>SUMIFS(L5:L74,C5:C74,"MARCH",H5:H74,"TRAFFIC CALMING")</f>
        <v>0</v>
      </c>
      <c r="AE37" s="36">
        <f t="shared" ref="AE37" si="29">SUM(S37:AD37)</f>
        <v>0</v>
      </c>
      <c r="AF37" s="36">
        <f>BK37</f>
        <v>150</v>
      </c>
      <c r="AG37" s="36">
        <f t="shared" si="15"/>
        <v>150</v>
      </c>
      <c r="AI37" s="41" t="s">
        <v>35</v>
      </c>
      <c r="AJ37" s="8">
        <f>SUM(500/12)</f>
        <v>41.666666666666664</v>
      </c>
      <c r="AK37" s="8">
        <f t="shared" ref="AK37:AU37" si="30">SUM(500/12)</f>
        <v>41.666666666666664</v>
      </c>
      <c r="AL37" s="8">
        <f t="shared" si="30"/>
        <v>41.666666666666664</v>
      </c>
      <c r="AM37" s="8">
        <f t="shared" si="30"/>
        <v>41.666666666666664</v>
      </c>
      <c r="AN37" s="8">
        <f t="shared" si="30"/>
        <v>41.666666666666664</v>
      </c>
      <c r="AO37" s="8">
        <f t="shared" si="30"/>
        <v>41.666666666666664</v>
      </c>
      <c r="AP37" s="8">
        <f t="shared" si="30"/>
        <v>41.666666666666664</v>
      </c>
      <c r="AQ37" s="8">
        <f t="shared" si="30"/>
        <v>41.666666666666664</v>
      </c>
      <c r="AR37" s="8">
        <f t="shared" si="30"/>
        <v>41.666666666666664</v>
      </c>
      <c r="AS37" s="8">
        <f t="shared" si="30"/>
        <v>41.666666666666664</v>
      </c>
      <c r="AT37" s="8">
        <f t="shared" si="30"/>
        <v>41.666666666666664</v>
      </c>
      <c r="AU37" s="8">
        <f t="shared" si="30"/>
        <v>41.666666666666664</v>
      </c>
      <c r="AV37" s="36">
        <f t="shared" ref="AV37" si="31">SUM(AJ37:AU37)</f>
        <v>500.00000000000006</v>
      </c>
      <c r="AX37" s="29" t="s">
        <v>59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f>BK37</f>
        <v>150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96">
        <v>150</v>
      </c>
      <c r="BL37" s="5" t="s">
        <v>245</v>
      </c>
    </row>
    <row r="38" spans="1:65" x14ac:dyDescent="0.3">
      <c r="A38" s="2">
        <v>33</v>
      </c>
      <c r="B38" s="3">
        <v>45526</v>
      </c>
      <c r="C38" s="2" t="s">
        <v>16</v>
      </c>
      <c r="D38" s="7" t="s">
        <v>161</v>
      </c>
      <c r="E38" s="1"/>
      <c r="F38" s="2"/>
      <c r="G38" s="8">
        <v>34.200000000000003</v>
      </c>
      <c r="H38" s="42" t="s">
        <v>27</v>
      </c>
      <c r="I38" s="10">
        <v>28.5</v>
      </c>
      <c r="J38" s="10"/>
      <c r="K38" s="11">
        <v>5.7</v>
      </c>
      <c r="L38" s="127">
        <f t="shared" si="0"/>
        <v>34.200000000000003</v>
      </c>
      <c r="M38" s="2" t="s">
        <v>162</v>
      </c>
      <c r="N38" s="1" t="s">
        <v>163</v>
      </c>
      <c r="O38" s="8">
        <f t="shared" si="3"/>
        <v>34.200000000000003</v>
      </c>
      <c r="P38" s="110">
        <v>45526</v>
      </c>
      <c r="Q38" s="9"/>
      <c r="R38" s="43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36"/>
      <c r="AF38" s="36"/>
      <c r="AG38" s="36">
        <f t="shared" si="15"/>
        <v>0</v>
      </c>
      <c r="AI38" s="40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36"/>
      <c r="AX38" s="29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96"/>
    </row>
    <row r="39" spans="1:65" x14ac:dyDescent="0.3">
      <c r="A39" s="2">
        <v>34</v>
      </c>
      <c r="B39" s="3">
        <v>45540</v>
      </c>
      <c r="C39" s="2" t="s">
        <v>17</v>
      </c>
      <c r="D39" s="7" t="s">
        <v>164</v>
      </c>
      <c r="E39" s="1" t="s">
        <v>165</v>
      </c>
      <c r="F39" s="2"/>
      <c r="G39" s="8">
        <v>165.3</v>
      </c>
      <c r="H39" s="42" t="s">
        <v>36</v>
      </c>
      <c r="I39" s="10">
        <v>137.75</v>
      </c>
      <c r="J39" s="10"/>
      <c r="K39" s="11">
        <v>27.55</v>
      </c>
      <c r="L39" s="127">
        <f t="shared" si="0"/>
        <v>165.3</v>
      </c>
      <c r="M39" s="2" t="s">
        <v>166</v>
      </c>
      <c r="N39" s="1" t="s">
        <v>249</v>
      </c>
      <c r="O39" s="8">
        <f t="shared" si="3"/>
        <v>165.3</v>
      </c>
      <c r="P39" s="110">
        <v>45540</v>
      </c>
      <c r="Q39" s="9"/>
      <c r="R39" s="45" t="s">
        <v>10</v>
      </c>
      <c r="S39" s="8">
        <f>SUM(S5:S37)</f>
        <v>2587.9</v>
      </c>
      <c r="T39" s="8">
        <f t="shared" ref="T39:AD39" si="32">SUM(T5:T37)</f>
        <v>1092.56</v>
      </c>
      <c r="U39" s="8">
        <f t="shared" si="32"/>
        <v>1496.5700000000002</v>
      </c>
      <c r="V39" s="8">
        <f t="shared" si="32"/>
        <v>1669.06</v>
      </c>
      <c r="W39" s="8">
        <f t="shared" si="32"/>
        <v>928.36</v>
      </c>
      <c r="X39" s="8">
        <f t="shared" si="32"/>
        <v>984.3</v>
      </c>
      <c r="Y39" s="8">
        <f t="shared" si="32"/>
        <v>1967.22</v>
      </c>
      <c r="Z39" s="8">
        <f t="shared" si="32"/>
        <v>657.6400000000001</v>
      </c>
      <c r="AA39" s="8">
        <f t="shared" si="32"/>
        <v>1215.0500000000002</v>
      </c>
      <c r="AB39" s="8">
        <f t="shared" si="32"/>
        <v>1589.79</v>
      </c>
      <c r="AC39" s="8">
        <f t="shared" si="32"/>
        <v>0</v>
      </c>
      <c r="AD39" s="8">
        <f t="shared" si="32"/>
        <v>0</v>
      </c>
      <c r="AE39" s="36">
        <f>SUM(S39:AD39)</f>
        <v>14188.45</v>
      </c>
      <c r="AF39" s="36">
        <f>SUM(AF5:AF37)</f>
        <v>19814.460372599999</v>
      </c>
      <c r="AG39" s="36">
        <f t="shared" si="15"/>
        <v>5626.0103725999979</v>
      </c>
      <c r="AI39" s="40" t="s">
        <v>38</v>
      </c>
      <c r="AJ39" s="8">
        <f>SUM(AJ5:AJ37)</f>
        <v>1059.0083333333332</v>
      </c>
      <c r="AK39" s="8">
        <f t="shared" ref="AK39:AU39" si="33">SUM(AK5:AK37)</f>
        <v>1059.0083333333332</v>
      </c>
      <c r="AL39" s="8">
        <f t="shared" si="33"/>
        <v>1781.0483333333336</v>
      </c>
      <c r="AM39" s="8">
        <f t="shared" si="33"/>
        <v>1184.0083333333334</v>
      </c>
      <c r="AN39" s="8">
        <f t="shared" si="33"/>
        <v>1134.0683333333334</v>
      </c>
      <c r="AO39" s="8">
        <f t="shared" si="33"/>
        <v>1204.0083333333334</v>
      </c>
      <c r="AP39" s="8">
        <f t="shared" si="33"/>
        <v>1059.0083333333332</v>
      </c>
      <c r="AQ39" s="8">
        <f t="shared" si="33"/>
        <v>1059.0083333333332</v>
      </c>
      <c r="AR39" s="8">
        <f t="shared" si="33"/>
        <v>1529.0083333333334</v>
      </c>
      <c r="AS39" s="8">
        <f t="shared" si="33"/>
        <v>1059.0083333333332</v>
      </c>
      <c r="AT39" s="8">
        <f t="shared" si="33"/>
        <v>1059.0083333333332</v>
      </c>
      <c r="AU39" s="8">
        <f t="shared" si="33"/>
        <v>1104.0083333333334</v>
      </c>
      <c r="AV39" s="36">
        <f>SUM(AJ39:AU39)</f>
        <v>14290.199999999999</v>
      </c>
      <c r="AX39" s="29" t="s">
        <v>38</v>
      </c>
      <c r="AY39" s="8">
        <f>SUM(AY5:AY38)</f>
        <v>2209.1637998166671</v>
      </c>
      <c r="AZ39" s="8">
        <f t="shared" ref="AZ39:BJ39" si="34">SUM(AZ5:AZ38)</f>
        <v>768.26564666666661</v>
      </c>
      <c r="BA39" s="8">
        <f t="shared" si="34"/>
        <v>743.26564666666661</v>
      </c>
      <c r="BB39" s="8">
        <f t="shared" si="34"/>
        <v>2861.1637998166666</v>
      </c>
      <c r="BC39" s="8">
        <f t="shared" si="34"/>
        <v>3763.2656466666663</v>
      </c>
      <c r="BD39" s="8">
        <f t="shared" si="34"/>
        <v>1135.6056466666666</v>
      </c>
      <c r="BE39" s="8">
        <f t="shared" si="34"/>
        <v>2359.1637998166671</v>
      </c>
      <c r="BF39" s="8">
        <f t="shared" si="34"/>
        <v>768.26564666666661</v>
      </c>
      <c r="BG39" s="8">
        <f t="shared" si="34"/>
        <v>1343.2656466666667</v>
      </c>
      <c r="BH39" s="8">
        <f t="shared" si="34"/>
        <v>2234.1637998166671</v>
      </c>
      <c r="BI39" s="8">
        <f t="shared" si="34"/>
        <v>768.26564666666661</v>
      </c>
      <c r="BJ39" s="8">
        <f t="shared" si="34"/>
        <v>860.60564666666664</v>
      </c>
      <c r="BK39" s="96"/>
    </row>
    <row r="40" spans="1:65" x14ac:dyDescent="0.3">
      <c r="A40" s="2">
        <v>35</v>
      </c>
      <c r="B40" s="3">
        <v>45540</v>
      </c>
      <c r="C40" s="2" t="s">
        <v>17</v>
      </c>
      <c r="D40" s="7" t="s">
        <v>70</v>
      </c>
      <c r="E40" s="1"/>
      <c r="F40" s="2"/>
      <c r="G40" s="8">
        <v>505.2</v>
      </c>
      <c r="H40" s="42" t="s">
        <v>105</v>
      </c>
      <c r="I40" s="10">
        <v>505.2</v>
      </c>
      <c r="J40" s="10"/>
      <c r="K40" s="11"/>
      <c r="L40" s="127">
        <f t="shared" si="0"/>
        <v>505.2</v>
      </c>
      <c r="M40" s="2" t="s">
        <v>167</v>
      </c>
      <c r="N40" s="1" t="s">
        <v>168</v>
      </c>
      <c r="O40" s="8">
        <f t="shared" si="3"/>
        <v>505.2</v>
      </c>
      <c r="P40" s="110">
        <v>45540</v>
      </c>
      <c r="Q40" s="9"/>
      <c r="R40" s="7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36"/>
      <c r="AF40" s="36"/>
      <c r="AG40" s="36"/>
      <c r="AI40" s="40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36"/>
      <c r="AX40" s="29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7" t="s">
        <v>57</v>
      </c>
      <c r="BJ40" s="87">
        <f>SUM(AY39:BJ39)</f>
        <v>19814.460372600002</v>
      </c>
      <c r="BK40" s="96"/>
    </row>
    <row r="41" spans="1:65" ht="15" thickBot="1" x14ac:dyDescent="0.35">
      <c r="A41" s="2">
        <v>36</v>
      </c>
      <c r="B41" s="3">
        <v>45540</v>
      </c>
      <c r="C41" s="2" t="s">
        <v>17</v>
      </c>
      <c r="D41" s="7" t="s">
        <v>125</v>
      </c>
      <c r="E41" s="1">
        <v>125376</v>
      </c>
      <c r="F41" s="2"/>
      <c r="G41" s="8">
        <v>190.8</v>
      </c>
      <c r="H41" s="42" t="s">
        <v>51</v>
      </c>
      <c r="I41" s="10">
        <v>159</v>
      </c>
      <c r="J41" s="10"/>
      <c r="K41" s="11">
        <v>31.8</v>
      </c>
      <c r="L41" s="127">
        <f t="shared" si="0"/>
        <v>190.8</v>
      </c>
      <c r="M41" s="2" t="s">
        <v>169</v>
      </c>
      <c r="N41" s="1" t="s">
        <v>170</v>
      </c>
      <c r="O41" s="8">
        <f t="shared" si="3"/>
        <v>190.8</v>
      </c>
      <c r="P41" s="110">
        <v>45540</v>
      </c>
      <c r="Q41" s="9"/>
      <c r="R41" s="7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37"/>
      <c r="AF41" s="37"/>
      <c r="AG41" s="37"/>
      <c r="AI41" s="40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37"/>
      <c r="AX41" s="29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143" t="s">
        <v>253</v>
      </c>
      <c r="BK41" s="104">
        <f>SUM(BK5:BK40)</f>
        <v>19814.460372599999</v>
      </c>
    </row>
    <row r="42" spans="1:65" ht="15" thickBot="1" x14ac:dyDescent="0.35">
      <c r="A42" s="2">
        <v>37</v>
      </c>
      <c r="B42" s="3">
        <v>45540</v>
      </c>
      <c r="C42" s="2" t="s">
        <v>17</v>
      </c>
      <c r="D42" s="7" t="s">
        <v>99</v>
      </c>
      <c r="E42" s="1">
        <v>1322</v>
      </c>
      <c r="F42" s="2"/>
      <c r="G42" s="8">
        <v>40</v>
      </c>
      <c r="H42" s="42" t="s">
        <v>31</v>
      </c>
      <c r="I42" s="10">
        <v>40</v>
      </c>
      <c r="J42" s="10"/>
      <c r="K42" s="11"/>
      <c r="L42" s="127">
        <f t="shared" si="0"/>
        <v>40</v>
      </c>
      <c r="M42" s="2" t="s">
        <v>171</v>
      </c>
      <c r="N42" s="1" t="s">
        <v>172</v>
      </c>
      <c r="O42" s="8">
        <f t="shared" si="3"/>
        <v>40</v>
      </c>
      <c r="P42" s="110">
        <v>45540</v>
      </c>
      <c r="Q42" s="9"/>
      <c r="R42" s="7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31"/>
      <c r="AE42" s="98">
        <f>SUM(AE39)</f>
        <v>14188.45</v>
      </c>
      <c r="AF42" s="99">
        <f>SUM(AF39)</f>
        <v>19814.460372599999</v>
      </c>
      <c r="AG42" s="36">
        <f t="shared" ref="AG42" si="35">SUM(AF42-AE42)</f>
        <v>5626.0103725999979</v>
      </c>
      <c r="AI42" s="40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31"/>
      <c r="AV42" s="38">
        <f>SUM(AV38:AV39)</f>
        <v>14290.199999999999</v>
      </c>
      <c r="AX42" s="29"/>
      <c r="AY42" s="8"/>
      <c r="AZ42" s="8"/>
      <c r="BA42" s="8"/>
      <c r="BB42" s="8"/>
      <c r="BC42" s="8"/>
      <c r="BD42" s="8"/>
      <c r="BE42" s="8"/>
      <c r="BF42" s="8"/>
      <c r="BG42" s="8"/>
      <c r="BH42" s="60"/>
      <c r="BI42" s="60"/>
      <c r="BJ42" s="10" t="s">
        <v>61</v>
      </c>
      <c r="BK42" s="97">
        <v>1100</v>
      </c>
    </row>
    <row r="43" spans="1:65" x14ac:dyDescent="0.3">
      <c r="A43" s="2" t="s">
        <v>178</v>
      </c>
      <c r="B43" s="3">
        <v>45542</v>
      </c>
      <c r="C43" s="2" t="s">
        <v>17</v>
      </c>
      <c r="D43" s="7" t="s">
        <v>179</v>
      </c>
      <c r="E43" s="1"/>
      <c r="F43" s="2"/>
      <c r="G43" s="8">
        <v>35</v>
      </c>
      <c r="H43" s="42" t="s">
        <v>27</v>
      </c>
      <c r="I43" s="10">
        <v>35</v>
      </c>
      <c r="J43" s="10"/>
      <c r="K43" s="11"/>
      <c r="L43" s="127">
        <f t="shared" si="0"/>
        <v>35</v>
      </c>
      <c r="M43" s="2" t="s">
        <v>178</v>
      </c>
      <c r="N43" s="1" t="s">
        <v>132</v>
      </c>
      <c r="O43" s="8">
        <f t="shared" si="3"/>
        <v>35</v>
      </c>
      <c r="P43" s="110">
        <v>45546</v>
      </c>
      <c r="Q43" s="9"/>
      <c r="R43" s="7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31"/>
      <c r="AE43" s="133"/>
      <c r="AF43" s="134"/>
      <c r="AG43" s="39"/>
      <c r="AI43" s="40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31"/>
      <c r="AV43" s="135"/>
      <c r="AX43" s="29"/>
      <c r="AY43" s="8"/>
      <c r="AZ43" s="8"/>
      <c r="BA43" s="8"/>
      <c r="BB43" s="8"/>
      <c r="BC43" s="8"/>
      <c r="BD43" s="8"/>
      <c r="BE43" s="8"/>
      <c r="BF43" s="8"/>
      <c r="BG43" s="8"/>
      <c r="BH43" s="60"/>
      <c r="BI43" s="60"/>
      <c r="BJ43" s="143" t="s">
        <v>263</v>
      </c>
      <c r="BK43" s="97">
        <f>BK41-BK42</f>
        <v>18714.460372599999</v>
      </c>
      <c r="BL43" s="5" t="s">
        <v>265</v>
      </c>
    </row>
    <row r="44" spans="1:65" x14ac:dyDescent="0.3">
      <c r="A44" s="2">
        <v>38</v>
      </c>
      <c r="B44" s="3">
        <v>45562</v>
      </c>
      <c r="C44" s="2" t="s">
        <v>17</v>
      </c>
      <c r="D44" s="7" t="s">
        <v>83</v>
      </c>
      <c r="E44" s="1"/>
      <c r="F44" s="2"/>
      <c r="G44" s="8">
        <v>48</v>
      </c>
      <c r="H44" s="42" t="s">
        <v>106</v>
      </c>
      <c r="I44" s="10">
        <v>48</v>
      </c>
      <c r="J44" s="10"/>
      <c r="K44" s="11"/>
      <c r="L44" s="127">
        <f t="shared" si="0"/>
        <v>48</v>
      </c>
      <c r="M44" s="2" t="s">
        <v>173</v>
      </c>
      <c r="N44" s="1" t="s">
        <v>174</v>
      </c>
      <c r="O44" s="8">
        <f t="shared" si="3"/>
        <v>48</v>
      </c>
      <c r="P44" s="110">
        <v>45565</v>
      </c>
      <c r="Q44" s="9"/>
      <c r="R44" s="7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2"/>
      <c r="AF44" s="12"/>
      <c r="AG44" s="12"/>
      <c r="AI44" s="40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39"/>
      <c r="AX44" s="29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6" t="s">
        <v>264</v>
      </c>
      <c r="BK44" s="96">
        <f>500+160</f>
        <v>660</v>
      </c>
    </row>
    <row r="45" spans="1:65" x14ac:dyDescent="0.3">
      <c r="A45" s="2">
        <v>39</v>
      </c>
      <c r="B45" s="3">
        <v>45566</v>
      </c>
      <c r="C45" s="2" t="s">
        <v>18</v>
      </c>
      <c r="D45" s="7" t="s">
        <v>70</v>
      </c>
      <c r="E45" s="1"/>
      <c r="F45" s="2"/>
      <c r="G45" s="8">
        <v>404.16</v>
      </c>
      <c r="H45" s="42" t="s">
        <v>105</v>
      </c>
      <c r="I45" s="10">
        <v>404.16</v>
      </c>
      <c r="J45" s="10"/>
      <c r="K45" s="11"/>
      <c r="L45" s="127">
        <f t="shared" si="0"/>
        <v>404.16</v>
      </c>
      <c r="M45" s="2" t="s">
        <v>175</v>
      </c>
      <c r="N45" s="1" t="s">
        <v>176</v>
      </c>
      <c r="O45" s="8">
        <f t="shared" si="3"/>
        <v>404.16</v>
      </c>
      <c r="P45" s="110">
        <v>45551</v>
      </c>
      <c r="Q45" s="9"/>
      <c r="R45" s="7"/>
      <c r="S45" s="8"/>
      <c r="T45" s="8"/>
      <c r="U45" s="8"/>
      <c r="V45" s="8"/>
      <c r="W45" s="8"/>
      <c r="X45" s="8"/>
      <c r="Y45" s="8"/>
      <c r="Z45" s="8"/>
      <c r="AA45" s="8"/>
      <c r="AB45" s="30"/>
      <c r="AC45" s="8"/>
      <c r="AD45" s="8"/>
      <c r="AE45" s="10"/>
      <c r="AF45" s="10"/>
      <c r="AG45" s="10"/>
      <c r="AI45" s="40"/>
      <c r="AJ45" s="8"/>
      <c r="AK45" s="8"/>
      <c r="AL45" s="8"/>
      <c r="AM45" s="8"/>
      <c r="AN45" s="8"/>
      <c r="AO45" s="8"/>
      <c r="AP45" s="8"/>
      <c r="AQ45" s="8"/>
      <c r="AR45" s="8"/>
      <c r="AS45" s="30"/>
      <c r="AT45" s="8"/>
      <c r="AU45" s="8"/>
      <c r="AV45" s="10"/>
      <c r="AX45" s="29"/>
      <c r="AY45" s="8"/>
      <c r="AZ45" s="8"/>
      <c r="BA45" s="8"/>
      <c r="BB45" s="8"/>
      <c r="BC45" s="8"/>
      <c r="BD45" s="8"/>
      <c r="BE45" s="8"/>
      <c r="BF45" s="8"/>
      <c r="BG45" s="8"/>
      <c r="BH45" s="60"/>
      <c r="BI45" s="61"/>
      <c r="BK45" s="96"/>
    </row>
    <row r="46" spans="1:65" x14ac:dyDescent="0.3">
      <c r="A46" s="2">
        <v>40</v>
      </c>
      <c r="B46" s="3">
        <v>45566</v>
      </c>
      <c r="C46" s="2" t="s">
        <v>18</v>
      </c>
      <c r="D46" s="7" t="s">
        <v>70</v>
      </c>
      <c r="E46" s="1"/>
      <c r="F46" s="2"/>
      <c r="G46" s="8">
        <v>48.15</v>
      </c>
      <c r="H46" s="42" t="s">
        <v>26</v>
      </c>
      <c r="I46" s="10">
        <v>48.15</v>
      </c>
      <c r="J46" s="10"/>
      <c r="K46" s="11"/>
      <c r="L46" s="127">
        <f t="shared" si="0"/>
        <v>48.15</v>
      </c>
      <c r="M46" s="2" t="s">
        <v>205</v>
      </c>
      <c r="N46" s="1" t="s">
        <v>177</v>
      </c>
      <c r="O46" s="8">
        <f t="shared" si="3"/>
        <v>48.15</v>
      </c>
      <c r="P46" s="110">
        <v>45566</v>
      </c>
      <c r="Q46" s="108"/>
      <c r="AF46" s="10"/>
      <c r="AX46" s="29"/>
      <c r="AY46" s="8"/>
      <c r="AZ46" s="8"/>
      <c r="BA46" s="8"/>
      <c r="BB46" s="8"/>
      <c r="BC46" s="8"/>
      <c r="BD46" s="8"/>
      <c r="BE46" s="8"/>
      <c r="BF46" s="8"/>
      <c r="BG46" s="8"/>
      <c r="BH46" s="60"/>
      <c r="BI46" s="30"/>
      <c r="BJ46" s="10"/>
      <c r="BK46" s="96"/>
    </row>
    <row r="47" spans="1:65" x14ac:dyDescent="0.3">
      <c r="A47" s="2">
        <v>41</v>
      </c>
      <c r="B47" s="3">
        <v>45580</v>
      </c>
      <c r="C47" s="2" t="s">
        <v>18</v>
      </c>
      <c r="D47" s="7" t="s">
        <v>99</v>
      </c>
      <c r="E47" s="1">
        <v>1336</v>
      </c>
      <c r="F47" s="2"/>
      <c r="G47" s="8">
        <v>40</v>
      </c>
      <c r="H47" s="42" t="s">
        <v>31</v>
      </c>
      <c r="I47" s="10">
        <v>40</v>
      </c>
      <c r="J47" s="10"/>
      <c r="K47" s="11"/>
      <c r="L47" s="127">
        <f t="shared" si="0"/>
        <v>40</v>
      </c>
      <c r="M47" s="2" t="s">
        <v>180</v>
      </c>
      <c r="N47" s="1" t="s">
        <v>181</v>
      </c>
      <c r="O47" s="8">
        <f t="shared" si="3"/>
        <v>40</v>
      </c>
      <c r="P47" s="110">
        <v>45581</v>
      </c>
      <c r="Q47" s="108"/>
      <c r="AE47" s="6"/>
      <c r="AX47" s="29"/>
      <c r="AY47" s="8"/>
      <c r="AZ47" s="8"/>
      <c r="BA47" s="8"/>
      <c r="BB47" s="8"/>
      <c r="BC47" s="8"/>
      <c r="BD47" s="8"/>
      <c r="BE47" s="8"/>
      <c r="BF47" s="8"/>
      <c r="BG47" s="8"/>
      <c r="BH47" s="60"/>
      <c r="BI47" s="61"/>
      <c r="BJ47" s="10" t="s">
        <v>234</v>
      </c>
      <c r="BK47" s="105">
        <f>BK43-BK44</f>
        <v>18054.460372599999</v>
      </c>
      <c r="BL47" s="146">
        <f>BK47-BK48</f>
        <v>1472.0103725999979</v>
      </c>
      <c r="BM47" t="s">
        <v>251</v>
      </c>
    </row>
    <row r="48" spans="1:65" x14ac:dyDescent="0.3">
      <c r="A48" s="2">
        <v>42</v>
      </c>
      <c r="B48" s="3">
        <v>45580</v>
      </c>
      <c r="C48" s="3" t="s">
        <v>18</v>
      </c>
      <c r="D48" s="7" t="s">
        <v>182</v>
      </c>
      <c r="E48" s="1" t="s">
        <v>183</v>
      </c>
      <c r="F48" s="2"/>
      <c r="G48" s="63">
        <v>874.51</v>
      </c>
      <c r="H48" s="42" t="s">
        <v>50</v>
      </c>
      <c r="I48" s="10">
        <v>832.87</v>
      </c>
      <c r="J48" s="10"/>
      <c r="K48" s="11">
        <v>41.64</v>
      </c>
      <c r="L48" s="127">
        <f t="shared" si="0"/>
        <v>874.51</v>
      </c>
      <c r="M48" s="2" t="s">
        <v>184</v>
      </c>
      <c r="N48" s="1" t="s">
        <v>185</v>
      </c>
      <c r="O48" s="8">
        <f t="shared" si="3"/>
        <v>874.51</v>
      </c>
      <c r="P48" s="110">
        <v>45581</v>
      </c>
      <c r="Q48" s="108"/>
      <c r="AX48" s="29"/>
      <c r="AY48" s="8"/>
      <c r="AZ48" s="8"/>
      <c r="BA48" s="8"/>
      <c r="BB48" s="8"/>
      <c r="BC48" s="8"/>
      <c r="BD48" s="8"/>
      <c r="BE48" s="8"/>
      <c r="BF48" s="8"/>
      <c r="BG48" s="8"/>
      <c r="BH48" s="60"/>
      <c r="BI48" s="61" t="s">
        <v>254</v>
      </c>
      <c r="BJ48" s="103"/>
      <c r="BK48" s="144">
        <v>16582.45</v>
      </c>
    </row>
    <row r="49" spans="1:66" x14ac:dyDescent="0.3">
      <c r="A49" s="2">
        <v>43</v>
      </c>
      <c r="B49" s="3">
        <v>45580</v>
      </c>
      <c r="C49" s="3" t="s">
        <v>18</v>
      </c>
      <c r="D49" s="7" t="s">
        <v>96</v>
      </c>
      <c r="E49" s="1"/>
      <c r="F49" s="2"/>
      <c r="G49" s="8">
        <v>50.4</v>
      </c>
      <c r="H49" s="42" t="s">
        <v>104</v>
      </c>
      <c r="I49" s="10">
        <v>50.4</v>
      </c>
      <c r="J49" s="10"/>
      <c r="K49" s="11"/>
      <c r="L49" s="127">
        <f t="shared" si="0"/>
        <v>50.4</v>
      </c>
      <c r="M49" s="2" t="s">
        <v>186</v>
      </c>
      <c r="N49" s="35" t="s">
        <v>187</v>
      </c>
      <c r="O49" s="8">
        <f t="shared" si="3"/>
        <v>50.4</v>
      </c>
      <c r="P49" s="110">
        <v>45581</v>
      </c>
      <c r="Q49" s="108"/>
      <c r="AX49" s="29"/>
      <c r="AY49" s="8"/>
      <c r="AZ49" s="8"/>
      <c r="BA49" s="8"/>
      <c r="BB49" s="8"/>
      <c r="BC49" s="8"/>
      <c r="BD49" s="8"/>
      <c r="BE49" s="8"/>
      <c r="BF49" s="8"/>
      <c r="BG49" s="8"/>
      <c r="BH49" s="60"/>
      <c r="BI49" s="61" t="s">
        <v>255</v>
      </c>
      <c r="BJ49" s="103"/>
      <c r="BK49" s="96">
        <v>17889</v>
      </c>
    </row>
    <row r="50" spans="1:66" x14ac:dyDescent="0.3">
      <c r="A50" s="2">
        <v>44</v>
      </c>
      <c r="B50" s="3">
        <v>45580</v>
      </c>
      <c r="C50" s="3" t="s">
        <v>18</v>
      </c>
      <c r="D50" s="7" t="s">
        <v>128</v>
      </c>
      <c r="E50" s="1">
        <v>15181</v>
      </c>
      <c r="F50" s="2"/>
      <c r="G50" s="63">
        <v>330</v>
      </c>
      <c r="H50" s="42" t="s">
        <v>190</v>
      </c>
      <c r="I50" s="10">
        <v>275</v>
      </c>
      <c r="J50" s="10"/>
      <c r="K50" s="11">
        <v>55</v>
      </c>
      <c r="L50" s="127">
        <f t="shared" si="0"/>
        <v>330</v>
      </c>
      <c r="M50" s="2" t="s">
        <v>188</v>
      </c>
      <c r="N50" s="1" t="s">
        <v>189</v>
      </c>
      <c r="O50" s="8">
        <f t="shared" si="3"/>
        <v>330</v>
      </c>
      <c r="P50" s="110">
        <v>45581</v>
      </c>
      <c r="Q50" s="108"/>
      <c r="AX50" s="29"/>
      <c r="AY50" s="8"/>
      <c r="AZ50" s="8"/>
      <c r="BA50" s="8"/>
      <c r="BB50" s="8"/>
      <c r="BC50" s="8"/>
      <c r="BD50" s="8"/>
      <c r="BE50" s="8"/>
      <c r="BF50" s="8"/>
      <c r="BG50" s="8"/>
      <c r="BH50" s="61" t="s">
        <v>256</v>
      </c>
      <c r="BJ50" s="8"/>
      <c r="BK50" s="96">
        <f>BK49-2000</f>
        <v>15889</v>
      </c>
    </row>
    <row r="51" spans="1:66" x14ac:dyDescent="0.3">
      <c r="A51" s="2">
        <v>45</v>
      </c>
      <c r="B51" s="3">
        <v>45592</v>
      </c>
      <c r="C51" s="3" t="s">
        <v>18</v>
      </c>
      <c r="D51" s="7" t="s">
        <v>121</v>
      </c>
      <c r="E51" s="1" t="s">
        <v>193</v>
      </c>
      <c r="F51" s="2"/>
      <c r="G51" s="63">
        <v>220</v>
      </c>
      <c r="H51" s="42" t="s">
        <v>36</v>
      </c>
      <c r="I51" s="10">
        <v>220</v>
      </c>
      <c r="J51" s="10"/>
      <c r="K51" s="11"/>
      <c r="L51" s="127">
        <f t="shared" si="0"/>
        <v>220</v>
      </c>
      <c r="M51" s="2" t="s">
        <v>194</v>
      </c>
      <c r="N51" s="1" t="s">
        <v>195</v>
      </c>
      <c r="O51" s="8">
        <f t="shared" si="3"/>
        <v>220</v>
      </c>
      <c r="P51" s="110">
        <v>45593</v>
      </c>
      <c r="Q51" s="108"/>
      <c r="AX51" s="29"/>
      <c r="AY51" s="8"/>
      <c r="AZ51" s="8"/>
      <c r="BA51" s="8"/>
      <c r="BB51" s="8"/>
      <c r="BC51" s="8"/>
      <c r="BD51" s="8"/>
      <c r="BE51" s="8"/>
      <c r="BF51" s="60" t="s">
        <v>252</v>
      </c>
      <c r="BI51" s="61"/>
      <c r="BJ51" s="8"/>
      <c r="BK51" s="96">
        <f>BK50-BK42</f>
        <v>14789</v>
      </c>
      <c r="BL51" s="145">
        <f>BK51/BK47</f>
        <v>0.8191327624748197</v>
      </c>
      <c r="BM51" t="s">
        <v>257</v>
      </c>
    </row>
    <row r="52" spans="1:66" x14ac:dyDescent="0.3">
      <c r="A52" s="2">
        <v>46</v>
      </c>
      <c r="B52" s="3">
        <v>45597</v>
      </c>
      <c r="C52" s="3" t="s">
        <v>19</v>
      </c>
      <c r="D52" s="7" t="s">
        <v>196</v>
      </c>
      <c r="E52" s="1"/>
      <c r="F52" s="2"/>
      <c r="G52" s="8">
        <v>40.98</v>
      </c>
      <c r="H52" s="42" t="s">
        <v>47</v>
      </c>
      <c r="I52" s="10">
        <v>34.15</v>
      </c>
      <c r="J52" s="10"/>
      <c r="K52" s="11">
        <v>6.83</v>
      </c>
      <c r="L52" s="127">
        <f t="shared" si="0"/>
        <v>40.98</v>
      </c>
      <c r="M52" s="2" t="s">
        <v>197</v>
      </c>
      <c r="N52" s="1" t="s">
        <v>198</v>
      </c>
      <c r="O52" s="8">
        <f t="shared" si="3"/>
        <v>40.98</v>
      </c>
      <c r="P52" s="110">
        <v>45597</v>
      </c>
      <c r="Q52" s="108"/>
      <c r="BH52" s="71"/>
      <c r="BK52" s="95"/>
    </row>
    <row r="53" spans="1:66" x14ac:dyDescent="0.3">
      <c r="A53" s="2">
        <v>47</v>
      </c>
      <c r="B53" s="3">
        <v>45597</v>
      </c>
      <c r="C53" s="3" t="s">
        <v>19</v>
      </c>
      <c r="D53" s="7" t="s">
        <v>199</v>
      </c>
      <c r="E53" s="1"/>
      <c r="F53" s="2"/>
      <c r="G53" s="8">
        <v>22.5</v>
      </c>
      <c r="H53" s="42" t="s">
        <v>36</v>
      </c>
      <c r="I53" s="10">
        <v>22.5</v>
      </c>
      <c r="J53" s="10"/>
      <c r="K53" s="11"/>
      <c r="L53" s="127">
        <f t="shared" si="0"/>
        <v>22.5</v>
      </c>
      <c r="M53" s="2" t="s">
        <v>200</v>
      </c>
      <c r="N53" s="1" t="s">
        <v>201</v>
      </c>
      <c r="O53" s="8">
        <f t="shared" si="3"/>
        <v>22.5</v>
      </c>
      <c r="P53" s="110">
        <v>45597</v>
      </c>
      <c r="Q53" s="108"/>
      <c r="BH53" s="71"/>
      <c r="BK53" s="95"/>
    </row>
    <row r="54" spans="1:66" x14ac:dyDescent="0.3">
      <c r="A54" s="2">
        <v>48</v>
      </c>
      <c r="B54" s="3">
        <v>45597</v>
      </c>
      <c r="C54" s="3" t="s">
        <v>19</v>
      </c>
      <c r="D54" s="7" t="s">
        <v>202</v>
      </c>
      <c r="E54" s="1"/>
      <c r="F54" s="2"/>
      <c r="G54" s="63">
        <v>404.16</v>
      </c>
      <c r="H54" s="42" t="s">
        <v>105</v>
      </c>
      <c r="I54" s="10">
        <v>404.16</v>
      </c>
      <c r="J54" s="10"/>
      <c r="K54" s="11"/>
      <c r="L54" s="127">
        <f t="shared" si="0"/>
        <v>404.16</v>
      </c>
      <c r="M54" s="20" t="s">
        <v>203</v>
      </c>
      <c r="N54" s="1" t="s">
        <v>204</v>
      </c>
      <c r="O54" s="8">
        <f t="shared" si="3"/>
        <v>404.16</v>
      </c>
      <c r="P54" s="110">
        <v>45597</v>
      </c>
      <c r="Q54" s="108"/>
      <c r="BH54" s="71"/>
      <c r="BK54" s="95"/>
      <c r="BM54" s="136"/>
      <c r="BN54" s="136"/>
    </row>
    <row r="55" spans="1:66" x14ac:dyDescent="0.3">
      <c r="A55" s="2">
        <v>49</v>
      </c>
      <c r="B55" s="3">
        <v>45610</v>
      </c>
      <c r="C55" s="3" t="s">
        <v>19</v>
      </c>
      <c r="D55" s="7" t="s">
        <v>99</v>
      </c>
      <c r="E55" s="1">
        <v>1350</v>
      </c>
      <c r="F55" s="2"/>
      <c r="G55" s="8">
        <v>40</v>
      </c>
      <c r="H55" s="42" t="s">
        <v>31</v>
      </c>
      <c r="I55" s="10">
        <v>40</v>
      </c>
      <c r="J55" s="10"/>
      <c r="K55" s="11"/>
      <c r="L55" s="127">
        <f t="shared" si="0"/>
        <v>40</v>
      </c>
      <c r="M55" s="2" t="s">
        <v>206</v>
      </c>
      <c r="N55" s="1" t="s">
        <v>207</v>
      </c>
      <c r="O55" s="8">
        <f t="shared" si="3"/>
        <v>40</v>
      </c>
      <c r="P55" s="110">
        <v>45610</v>
      </c>
      <c r="Q55" s="108"/>
      <c r="BH55" s="71"/>
      <c r="BK55" s="95"/>
    </row>
    <row r="56" spans="1:66" x14ac:dyDescent="0.3">
      <c r="A56" s="2">
        <v>50</v>
      </c>
      <c r="B56" s="3">
        <v>45610</v>
      </c>
      <c r="C56" s="2" t="s">
        <v>19</v>
      </c>
      <c r="D56" s="7" t="s">
        <v>77</v>
      </c>
      <c r="E56" s="1"/>
      <c r="F56" s="2"/>
      <c r="G56" s="8">
        <v>150</v>
      </c>
      <c r="H56" s="42" t="s">
        <v>31</v>
      </c>
      <c r="I56" s="10">
        <v>150</v>
      </c>
      <c r="J56" s="10"/>
      <c r="K56" s="11"/>
      <c r="L56" s="127">
        <f t="shared" si="0"/>
        <v>150</v>
      </c>
      <c r="M56" s="2" t="s">
        <v>208</v>
      </c>
      <c r="N56" s="1" t="s">
        <v>209</v>
      </c>
      <c r="O56" s="8">
        <f t="shared" si="3"/>
        <v>150</v>
      </c>
      <c r="P56" s="110">
        <v>45610</v>
      </c>
      <c r="Q56" s="108"/>
      <c r="BH56" s="71"/>
      <c r="BK56" s="95"/>
    </row>
    <row r="57" spans="1:66" x14ac:dyDescent="0.3">
      <c r="A57" s="2">
        <v>51</v>
      </c>
      <c r="B57" s="3">
        <v>45630</v>
      </c>
      <c r="C57" s="2" t="s">
        <v>20</v>
      </c>
      <c r="D57" s="7" t="s">
        <v>164</v>
      </c>
      <c r="E57" s="1" t="s">
        <v>165</v>
      </c>
      <c r="F57" s="2"/>
      <c r="G57" s="8">
        <v>93.9</v>
      </c>
      <c r="H57" s="42" t="s">
        <v>36</v>
      </c>
      <c r="I57" s="10">
        <v>78.25</v>
      </c>
      <c r="J57" s="10"/>
      <c r="K57" s="11">
        <v>15.65</v>
      </c>
      <c r="L57" s="127">
        <f t="shared" si="0"/>
        <v>93.9</v>
      </c>
      <c r="M57" s="2" t="s">
        <v>210</v>
      </c>
      <c r="N57" s="4" t="s">
        <v>211</v>
      </c>
      <c r="O57" s="8">
        <f t="shared" si="3"/>
        <v>93.9</v>
      </c>
      <c r="P57" s="110">
        <v>45630</v>
      </c>
      <c r="Q57" s="108"/>
      <c r="BH57" s="71"/>
      <c r="BK57" s="95"/>
    </row>
    <row r="58" spans="1:66" x14ac:dyDescent="0.3">
      <c r="A58" s="2">
        <v>52</v>
      </c>
      <c r="B58" s="3">
        <v>45630</v>
      </c>
      <c r="C58" s="2" t="s">
        <v>20</v>
      </c>
      <c r="D58" s="7" t="s">
        <v>212</v>
      </c>
      <c r="E58" s="1"/>
      <c r="F58" s="2"/>
      <c r="G58" s="63">
        <v>146.9</v>
      </c>
      <c r="H58" s="42" t="s">
        <v>47</v>
      </c>
      <c r="I58" s="10">
        <v>146.9</v>
      </c>
      <c r="J58" s="10"/>
      <c r="K58" s="11"/>
      <c r="L58" s="127">
        <f t="shared" si="0"/>
        <v>146.9</v>
      </c>
      <c r="M58" s="2" t="s">
        <v>213</v>
      </c>
      <c r="N58" s="1" t="s">
        <v>216</v>
      </c>
      <c r="O58" s="8">
        <f t="shared" si="3"/>
        <v>146.9</v>
      </c>
      <c r="P58" s="110">
        <v>45630</v>
      </c>
      <c r="Q58" s="108"/>
      <c r="BH58" s="71"/>
      <c r="BK58" s="95"/>
    </row>
    <row r="59" spans="1:66" x14ac:dyDescent="0.3">
      <c r="A59" s="2">
        <v>53</v>
      </c>
      <c r="B59" s="3">
        <v>45630</v>
      </c>
      <c r="C59" s="2" t="s">
        <v>20</v>
      </c>
      <c r="D59" s="7" t="s">
        <v>214</v>
      </c>
      <c r="E59" s="1"/>
      <c r="F59" s="2"/>
      <c r="G59" s="8">
        <v>19.649999999999999</v>
      </c>
      <c r="H59" s="42" t="s">
        <v>47</v>
      </c>
      <c r="I59" s="10">
        <v>19.649999999999999</v>
      </c>
      <c r="J59" s="10"/>
      <c r="K59" s="11"/>
      <c r="L59" s="127">
        <f t="shared" si="0"/>
        <v>19.649999999999999</v>
      </c>
      <c r="M59" s="2" t="s">
        <v>215</v>
      </c>
      <c r="N59" s="1" t="s">
        <v>217</v>
      </c>
      <c r="O59" s="8">
        <f t="shared" si="3"/>
        <v>19.649999999999999</v>
      </c>
      <c r="P59" s="110">
        <v>45630</v>
      </c>
      <c r="Q59" s="108"/>
      <c r="AI59" s="13" t="s">
        <v>37</v>
      </c>
      <c r="BK59" s="95"/>
    </row>
    <row r="60" spans="1:66" x14ac:dyDescent="0.3">
      <c r="A60" s="2">
        <v>54</v>
      </c>
      <c r="B60" s="3">
        <v>45630</v>
      </c>
      <c r="C60" s="2" t="s">
        <v>20</v>
      </c>
      <c r="D60" s="7" t="s">
        <v>70</v>
      </c>
      <c r="E60" s="1"/>
      <c r="F60" s="2"/>
      <c r="G60" s="8">
        <v>505.2</v>
      </c>
      <c r="H60" s="42" t="s">
        <v>105</v>
      </c>
      <c r="I60" s="10">
        <v>505.2</v>
      </c>
      <c r="J60" s="10"/>
      <c r="K60" s="11"/>
      <c r="L60" s="127">
        <f t="shared" si="0"/>
        <v>505.2</v>
      </c>
      <c r="M60" s="2" t="s">
        <v>219</v>
      </c>
      <c r="N60" s="1" t="s">
        <v>218</v>
      </c>
      <c r="O60" s="8">
        <f t="shared" si="3"/>
        <v>505.2</v>
      </c>
      <c r="P60" s="110">
        <v>45630</v>
      </c>
      <c r="Q60" s="108"/>
      <c r="BK60" s="95"/>
    </row>
    <row r="61" spans="1:66" x14ac:dyDescent="0.3">
      <c r="A61" s="2">
        <v>55</v>
      </c>
      <c r="B61" s="3">
        <v>45630</v>
      </c>
      <c r="C61" s="2" t="s">
        <v>20</v>
      </c>
      <c r="D61" s="7" t="s">
        <v>125</v>
      </c>
      <c r="E61" s="1">
        <v>126877</v>
      </c>
      <c r="F61" s="2"/>
      <c r="G61" s="63">
        <v>188.4</v>
      </c>
      <c r="H61" s="42" t="s">
        <v>51</v>
      </c>
      <c r="I61" s="10">
        <v>157</v>
      </c>
      <c r="J61" s="10"/>
      <c r="K61" s="11">
        <v>31.4</v>
      </c>
      <c r="L61" s="127">
        <f t="shared" si="0"/>
        <v>188.4</v>
      </c>
      <c r="M61" s="2" t="s">
        <v>220</v>
      </c>
      <c r="N61" s="1" t="s">
        <v>221</v>
      </c>
      <c r="O61" s="8">
        <f t="shared" si="3"/>
        <v>188.4</v>
      </c>
      <c r="P61" s="110">
        <v>45630</v>
      </c>
      <c r="Q61" s="108"/>
      <c r="BK61" s="95"/>
    </row>
    <row r="62" spans="1:66" x14ac:dyDescent="0.3">
      <c r="A62" s="2">
        <v>56</v>
      </c>
      <c r="B62" s="3">
        <v>45646</v>
      </c>
      <c r="C62" s="2" t="s">
        <v>20</v>
      </c>
      <c r="D62" s="7" t="s">
        <v>222</v>
      </c>
      <c r="E62" s="1">
        <v>4958</v>
      </c>
      <c r="F62" s="2"/>
      <c r="G62" s="8">
        <v>225</v>
      </c>
      <c r="H62" s="42" t="s">
        <v>47</v>
      </c>
      <c r="I62" s="10">
        <v>187.5</v>
      </c>
      <c r="J62" s="10"/>
      <c r="K62" s="11">
        <v>37.5</v>
      </c>
      <c r="L62" s="127">
        <f t="shared" si="0"/>
        <v>225</v>
      </c>
      <c r="M62" s="20" t="s">
        <v>223</v>
      </c>
      <c r="N62" s="16" t="s">
        <v>224</v>
      </c>
      <c r="O62" s="8">
        <f t="shared" si="3"/>
        <v>225</v>
      </c>
      <c r="P62" s="110">
        <v>45646</v>
      </c>
      <c r="BK62" s="95"/>
    </row>
    <row r="63" spans="1:66" x14ac:dyDescent="0.3">
      <c r="A63" s="2">
        <v>57</v>
      </c>
      <c r="B63" s="3">
        <v>45646</v>
      </c>
      <c r="C63" s="2" t="s">
        <v>20</v>
      </c>
      <c r="D63" s="7" t="s">
        <v>128</v>
      </c>
      <c r="E63" s="1">
        <v>15276</v>
      </c>
      <c r="F63" s="2"/>
      <c r="G63" s="8">
        <v>36</v>
      </c>
      <c r="H63" s="42" t="s">
        <v>190</v>
      </c>
      <c r="I63" s="10">
        <v>30</v>
      </c>
      <c r="J63" s="10"/>
      <c r="K63" s="11">
        <v>6</v>
      </c>
      <c r="L63" s="127">
        <f t="shared" si="0"/>
        <v>36</v>
      </c>
      <c r="M63" s="2" t="s">
        <v>225</v>
      </c>
      <c r="N63" s="1" t="s">
        <v>226</v>
      </c>
      <c r="O63" s="8">
        <f t="shared" si="3"/>
        <v>36</v>
      </c>
      <c r="P63" s="110">
        <v>45646</v>
      </c>
      <c r="Q63" s="108"/>
      <c r="BK63" s="95"/>
    </row>
    <row r="64" spans="1:66" x14ac:dyDescent="0.3">
      <c r="A64" s="2">
        <v>58</v>
      </c>
      <c r="B64" s="3">
        <v>45664</v>
      </c>
      <c r="C64" s="2" t="s">
        <v>21</v>
      </c>
      <c r="D64" s="7" t="s">
        <v>70</v>
      </c>
      <c r="E64" s="1"/>
      <c r="F64" s="2"/>
      <c r="G64" s="8">
        <v>404.16</v>
      </c>
      <c r="H64" s="42" t="s">
        <v>105</v>
      </c>
      <c r="I64" s="10">
        <v>404.16</v>
      </c>
      <c r="J64" s="10"/>
      <c r="K64" s="11"/>
      <c r="L64" s="127">
        <f t="shared" si="0"/>
        <v>404.16</v>
      </c>
      <c r="M64" s="2" t="s">
        <v>227</v>
      </c>
      <c r="N64" s="1" t="s">
        <v>228</v>
      </c>
      <c r="O64" s="8">
        <f t="shared" si="3"/>
        <v>404.16</v>
      </c>
      <c r="P64" s="110">
        <v>45664</v>
      </c>
      <c r="Q64" s="108"/>
      <c r="BK64" s="95"/>
    </row>
    <row r="65" spans="1:63" x14ac:dyDescent="0.3">
      <c r="A65" s="2">
        <v>59</v>
      </c>
      <c r="B65" s="3">
        <v>45664</v>
      </c>
      <c r="C65" s="2" t="s">
        <v>21</v>
      </c>
      <c r="D65" s="7" t="s">
        <v>70</v>
      </c>
      <c r="E65" s="1"/>
      <c r="F65" s="2"/>
      <c r="G65" s="8">
        <v>48.15</v>
      </c>
      <c r="H65" s="42" t="s">
        <v>27</v>
      </c>
      <c r="I65" s="10">
        <v>48.15</v>
      </c>
      <c r="J65" s="10"/>
      <c r="K65" s="11"/>
      <c r="L65" s="127">
        <f t="shared" si="0"/>
        <v>48.15</v>
      </c>
      <c r="M65" s="2" t="s">
        <v>229</v>
      </c>
      <c r="N65" s="1" t="s">
        <v>230</v>
      </c>
      <c r="O65" s="8">
        <f t="shared" si="3"/>
        <v>48.15</v>
      </c>
      <c r="P65" s="110">
        <v>45664</v>
      </c>
      <c r="Q65" s="108"/>
      <c r="BK65" s="95"/>
    </row>
    <row r="66" spans="1:63" x14ac:dyDescent="0.3">
      <c r="A66" s="2">
        <v>60</v>
      </c>
      <c r="B66" s="3">
        <v>45667</v>
      </c>
      <c r="C66" s="2" t="s">
        <v>21</v>
      </c>
      <c r="D66" s="7" t="s">
        <v>182</v>
      </c>
      <c r="E66" s="1" t="s">
        <v>231</v>
      </c>
      <c r="F66" s="3"/>
      <c r="G66" s="8">
        <v>1137.48</v>
      </c>
      <c r="H66" s="42" t="s">
        <v>50</v>
      </c>
      <c r="I66" s="10">
        <v>1083.31</v>
      </c>
      <c r="J66" s="10"/>
      <c r="K66" s="11">
        <v>54.17</v>
      </c>
      <c r="L66" s="127">
        <f t="shared" si="0"/>
        <v>1137.48</v>
      </c>
      <c r="M66" s="2" t="s">
        <v>232</v>
      </c>
      <c r="N66" s="1" t="s">
        <v>233</v>
      </c>
      <c r="O66" s="8">
        <f t="shared" si="3"/>
        <v>1137.48</v>
      </c>
      <c r="P66" s="110"/>
      <c r="BK66" s="95"/>
    </row>
    <row r="67" spans="1:63" x14ac:dyDescent="0.3">
      <c r="A67" s="2"/>
      <c r="B67" s="3"/>
      <c r="C67" s="2"/>
      <c r="D67" s="7"/>
      <c r="E67" s="1"/>
      <c r="F67" s="3"/>
      <c r="G67" s="8"/>
      <c r="H67" s="42"/>
      <c r="I67" s="10"/>
      <c r="J67" s="10"/>
      <c r="K67" s="11"/>
      <c r="L67" s="127">
        <f t="shared" si="0"/>
        <v>0</v>
      </c>
      <c r="M67" s="2"/>
      <c r="N67" s="1"/>
      <c r="O67" s="8">
        <f t="shared" si="3"/>
        <v>0</v>
      </c>
      <c r="P67" s="110"/>
      <c r="Q67" s="108"/>
      <c r="BK67" s="95"/>
    </row>
    <row r="68" spans="1:63" x14ac:dyDescent="0.3">
      <c r="A68" s="2"/>
      <c r="B68" s="3"/>
      <c r="C68" s="2"/>
      <c r="D68" s="7"/>
      <c r="E68" s="1"/>
      <c r="F68" s="2"/>
      <c r="G68" s="8"/>
      <c r="H68" s="42"/>
      <c r="I68" s="10"/>
      <c r="J68" s="10"/>
      <c r="K68" s="11"/>
      <c r="L68" s="127">
        <f t="shared" si="0"/>
        <v>0</v>
      </c>
      <c r="M68" s="2"/>
      <c r="N68" s="1"/>
      <c r="O68" s="8">
        <f t="shared" si="3"/>
        <v>0</v>
      </c>
      <c r="P68" s="110"/>
      <c r="Q68" s="108"/>
      <c r="BK68" s="95"/>
    </row>
    <row r="69" spans="1:63" x14ac:dyDescent="0.3">
      <c r="A69" s="2"/>
      <c r="B69" s="3"/>
      <c r="C69" s="2"/>
      <c r="D69" s="7"/>
      <c r="E69" s="1"/>
      <c r="F69" s="2"/>
      <c r="G69" s="8"/>
      <c r="H69" s="42"/>
      <c r="I69" s="10"/>
      <c r="J69" s="10"/>
      <c r="K69" s="11"/>
      <c r="L69" s="127">
        <f t="shared" si="0"/>
        <v>0</v>
      </c>
      <c r="M69" s="2"/>
      <c r="N69" s="1"/>
      <c r="O69" s="8">
        <f t="shared" si="3"/>
        <v>0</v>
      </c>
      <c r="P69" s="110"/>
      <c r="Q69" s="108"/>
      <c r="BK69" s="95"/>
    </row>
    <row r="70" spans="1:63" x14ac:dyDescent="0.3">
      <c r="A70" s="2"/>
      <c r="B70" s="3"/>
      <c r="C70" s="2"/>
      <c r="D70" s="7"/>
      <c r="E70" s="1"/>
      <c r="F70" s="2"/>
      <c r="G70" s="8"/>
      <c r="H70" s="42"/>
      <c r="I70" s="10"/>
      <c r="J70" s="10"/>
      <c r="K70" s="11"/>
      <c r="L70" s="127">
        <f t="shared" si="0"/>
        <v>0</v>
      </c>
      <c r="M70" s="2"/>
      <c r="N70" s="1"/>
      <c r="O70" s="8">
        <f t="shared" si="3"/>
        <v>0</v>
      </c>
      <c r="P70" s="110"/>
      <c r="BK70" s="95"/>
    </row>
    <row r="71" spans="1:63" x14ac:dyDescent="0.3">
      <c r="A71" s="2"/>
      <c r="B71" s="3"/>
      <c r="C71" s="2"/>
      <c r="D71" s="7"/>
      <c r="E71" s="1"/>
      <c r="F71" s="2"/>
      <c r="G71" s="8"/>
      <c r="H71" s="42"/>
      <c r="I71" s="10"/>
      <c r="J71" s="10"/>
      <c r="K71" s="11"/>
      <c r="L71" s="127">
        <f t="shared" ref="L71:L74" si="36">I71+K71</f>
        <v>0</v>
      </c>
      <c r="M71" s="2"/>
      <c r="N71" s="1"/>
      <c r="O71" s="8">
        <f t="shared" si="3"/>
        <v>0</v>
      </c>
      <c r="P71" s="110"/>
      <c r="Q71" s="108"/>
      <c r="BK71" s="95"/>
    </row>
    <row r="72" spans="1:63" x14ac:dyDescent="0.3">
      <c r="A72" s="2"/>
      <c r="B72" s="3"/>
      <c r="C72" s="2"/>
      <c r="D72" s="7"/>
      <c r="E72" s="1"/>
      <c r="F72" s="2"/>
      <c r="G72" s="8"/>
      <c r="H72" s="42"/>
      <c r="I72" s="10"/>
      <c r="J72" s="10"/>
      <c r="K72" s="11"/>
      <c r="L72" s="127">
        <f t="shared" si="36"/>
        <v>0</v>
      </c>
      <c r="M72" s="2"/>
      <c r="N72" s="1"/>
      <c r="O72" s="8">
        <f t="shared" ref="O72:O74" si="37">L72</f>
        <v>0</v>
      </c>
      <c r="P72" s="110"/>
      <c r="Q72" s="108"/>
      <c r="BK72" s="95"/>
    </row>
    <row r="73" spans="1:63" x14ac:dyDescent="0.3">
      <c r="A73" s="2"/>
      <c r="B73" s="9"/>
      <c r="C73" s="2"/>
      <c r="D73" s="7"/>
      <c r="E73" s="1"/>
      <c r="F73" s="2"/>
      <c r="G73" s="8"/>
      <c r="H73" s="42"/>
      <c r="I73" s="10"/>
      <c r="J73" s="10"/>
      <c r="K73" s="11"/>
      <c r="L73" s="127">
        <f t="shared" si="36"/>
        <v>0</v>
      </c>
      <c r="M73" s="2"/>
      <c r="N73" s="1"/>
      <c r="O73" s="8">
        <f t="shared" si="37"/>
        <v>0</v>
      </c>
      <c r="P73" s="110"/>
      <c r="Q73" s="108"/>
      <c r="BK73" s="95"/>
    </row>
    <row r="74" spans="1:63" x14ac:dyDescent="0.3">
      <c r="A74" s="7"/>
      <c r="B74" s="7"/>
      <c r="C74" s="7"/>
      <c r="D74" s="7"/>
      <c r="E74" s="1"/>
      <c r="F74" s="2"/>
      <c r="G74" s="8"/>
      <c r="H74" s="42"/>
      <c r="I74" s="10"/>
      <c r="J74" s="10"/>
      <c r="K74" s="11"/>
      <c r="L74" s="127">
        <f t="shared" si="36"/>
        <v>0</v>
      </c>
      <c r="M74" s="2"/>
      <c r="N74" s="7"/>
      <c r="O74" s="8">
        <f t="shared" si="37"/>
        <v>0</v>
      </c>
      <c r="P74" s="110"/>
      <c r="BK74" s="95"/>
    </row>
    <row r="75" spans="1:63" x14ac:dyDescent="0.3">
      <c r="A75" s="7"/>
      <c r="B75" s="7"/>
      <c r="C75" s="7"/>
      <c r="D75" s="7"/>
      <c r="E75" s="1"/>
      <c r="F75" s="113">
        <f>SUM(F5:F73)</f>
        <v>882.79</v>
      </c>
      <c r="G75" s="113">
        <f>SUM(G5:G74)</f>
        <v>14188.449999999995</v>
      </c>
      <c r="H75" s="92"/>
      <c r="I75" s="92">
        <f>SUM(I5:I74)</f>
        <v>13685.069999999998</v>
      </c>
      <c r="J75" s="92"/>
      <c r="K75" s="92">
        <f>SUM(K5:K74)</f>
        <v>503.38</v>
      </c>
      <c r="L75" s="128">
        <f>SUM(L5:L74)</f>
        <v>14188.449999999995</v>
      </c>
      <c r="M75" s="2"/>
      <c r="N75" s="1"/>
      <c r="O75" s="11"/>
      <c r="P75" s="2"/>
      <c r="BK75" s="95"/>
    </row>
    <row r="76" spans="1:63" x14ac:dyDescent="0.3">
      <c r="G76" s="114"/>
      <c r="H76" s="18"/>
      <c r="I76" s="19" t="s">
        <v>32</v>
      </c>
      <c r="J76" s="19"/>
      <c r="K76" s="17" t="s">
        <v>33</v>
      </c>
      <c r="L76" s="129" t="s">
        <v>34</v>
      </c>
      <c r="BK76" s="95"/>
    </row>
    <row r="77" spans="1:63" x14ac:dyDescent="0.3">
      <c r="BK77" s="95"/>
    </row>
    <row r="78" spans="1:63" x14ac:dyDescent="0.3">
      <c r="H78" s="13"/>
      <c r="K78" s="13" t="s">
        <v>55</v>
      </c>
      <c r="L78" s="128">
        <f>SUM(I75+K75)</f>
        <v>14188.449999999997</v>
      </c>
      <c r="BK78" s="95"/>
    </row>
    <row r="79" spans="1:63" x14ac:dyDescent="0.3">
      <c r="BK79" s="95"/>
    </row>
    <row r="80" spans="1:63" x14ac:dyDescent="0.3">
      <c r="C80" s="21"/>
      <c r="D80" s="7" t="s">
        <v>65</v>
      </c>
      <c r="E80" s="1"/>
      <c r="F80" s="2"/>
      <c r="G80" s="113"/>
      <c r="H80" s="21"/>
      <c r="K80" s="131" t="s">
        <v>191</v>
      </c>
      <c r="M80" s="136">
        <f>L75-AE42</f>
        <v>0</v>
      </c>
      <c r="N80" s="22"/>
      <c r="BK80" s="95"/>
    </row>
    <row r="81" spans="2:63" x14ac:dyDescent="0.3">
      <c r="B81" s="62"/>
      <c r="D81" s="7"/>
      <c r="E81" s="1"/>
      <c r="F81" s="113"/>
      <c r="G81" s="113"/>
      <c r="BK81" s="95"/>
    </row>
    <row r="82" spans="2:63" x14ac:dyDescent="0.3">
      <c r="D82" s="88" t="s">
        <v>66</v>
      </c>
      <c r="E82" s="89"/>
      <c r="F82" s="115"/>
      <c r="G82" s="115">
        <v>15876.87</v>
      </c>
      <c r="BK82" s="95"/>
    </row>
    <row r="83" spans="2:63" x14ac:dyDescent="0.3">
      <c r="D83" s="90"/>
      <c r="E83" s="91"/>
      <c r="F83" s="111"/>
      <c r="G83" s="111"/>
      <c r="H83" s="13"/>
      <c r="BK83" s="95"/>
    </row>
    <row r="84" spans="2:63" x14ac:dyDescent="0.3">
      <c r="D84" s="7" t="s">
        <v>56</v>
      </c>
      <c r="E84" s="1"/>
      <c r="F84" s="113">
        <v>16582.454411999999</v>
      </c>
      <c r="G84" s="113">
        <f>SUM(G82+F84)</f>
        <v>32459.324412000002</v>
      </c>
      <c r="H84" s="18"/>
      <c r="I84" s="19"/>
      <c r="BK84" s="95"/>
    </row>
    <row r="85" spans="2:63" x14ac:dyDescent="0.3">
      <c r="D85" s="7" t="s">
        <v>58</v>
      </c>
      <c r="E85" s="1"/>
      <c r="F85" s="113">
        <v>882.79</v>
      </c>
      <c r="G85" s="116">
        <f>SUM(G84+F85)</f>
        <v>33342.114412000003</v>
      </c>
      <c r="BK85" s="95"/>
    </row>
    <row r="86" spans="2:63" x14ac:dyDescent="0.3">
      <c r="D86" s="7" t="s">
        <v>67</v>
      </c>
      <c r="E86" s="1"/>
      <c r="F86" s="113">
        <v>0</v>
      </c>
      <c r="G86" s="116">
        <f>SUM(G85+F86)</f>
        <v>33342.114412000003</v>
      </c>
      <c r="BK86" s="95"/>
    </row>
    <row r="87" spans="2:63" x14ac:dyDescent="0.3">
      <c r="D87" s="120" t="s">
        <v>62</v>
      </c>
      <c r="E87" s="121"/>
      <c r="F87" s="122"/>
      <c r="G87" s="119">
        <f>G85-L75</f>
        <v>19153.664412000006</v>
      </c>
      <c r="H87" s="100"/>
      <c r="I87" s="100"/>
      <c r="BK87" s="95"/>
    </row>
    <row r="88" spans="2:63" x14ac:dyDescent="0.3">
      <c r="D88" s="7"/>
      <c r="E88" s="1"/>
      <c r="F88" s="113"/>
      <c r="G88" s="116"/>
      <c r="BK88" s="95"/>
    </row>
    <row r="89" spans="2:63" ht="63" customHeight="1" x14ac:dyDescent="0.3">
      <c r="D89" s="138" t="s">
        <v>192</v>
      </c>
      <c r="E89" s="7"/>
      <c r="F89" s="7"/>
      <c r="G89" s="137">
        <v>17889.63</v>
      </c>
      <c r="BK89" s="95"/>
    </row>
    <row r="90" spans="2:63" x14ac:dyDescent="0.3">
      <c r="E90"/>
      <c r="F90"/>
      <c r="G90"/>
      <c r="BK90" s="95"/>
    </row>
  </sheetData>
  <protectedRanges>
    <protectedRange algorithmName="SHA-512" hashValue="D73XDHjE/DTVz7HsMFPTXOR/pAa3ucbqwnmNK/L0CTww8oAMKJqineMC6gdvej9uX2b49HdAqZfnQ5U0TaZSGg==" saltValue="zQRjP25ugXD+dVw1Pk7ThQ==" spinCount="100000" sqref="AH2:AH43 AI2:AV44 R2:R40 R42:R44 BK42:BK43 AX5 AX44:BI44 AX42:BG43 G88 BK5:BK6 AX2:BK4 S2:AG44 AX6:BJ6 AX7:BK41 BJ43" name="Range1"/>
    <protectedRange algorithmName="SHA-512" hashValue="D73XDHjE/DTVz7HsMFPTXOR/pAa3ucbqwnmNK/L0CTww8oAMKJqineMC6gdvej9uX2b49HdAqZfnQ5U0TaZSGg==" saltValue="zQRjP25ugXD+dVw1Pk7ThQ==" spinCount="100000" sqref="BJ44:BK44" name="Range1_2"/>
  </protectedRanges>
  <mergeCells count="3">
    <mergeCell ref="M2:M3"/>
    <mergeCell ref="E2:E3"/>
    <mergeCell ref="F2:F3"/>
  </mergeCells>
  <phoneticPr fontId="6" type="noConversion"/>
  <dataValidations disablePrompts="1" count="1">
    <dataValidation type="list" allowBlank="1" showInputMessage="1" showErrorMessage="1" sqref="H4:H74" xr:uid="{F6F45466-A22D-4D3B-9446-7C9AA539DF4C}">
      <formula1>$R$5:$R$37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ignoredErrors>
    <ignoredError sqref="V21:A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fentonparishcouncil</dc:creator>
  <cp:lastModifiedBy>Clerk to Harmston PC</cp:lastModifiedBy>
  <cp:lastPrinted>2025-04-04T16:31:18Z</cp:lastPrinted>
  <dcterms:created xsi:type="dcterms:W3CDTF">2019-06-28T13:57:46Z</dcterms:created>
  <dcterms:modified xsi:type="dcterms:W3CDTF">2025-04-04T16:32:20Z</dcterms:modified>
</cp:coreProperties>
</file>