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95c106f2fcd6d4/Documents/HPC 2020/FINANCIALS/2024-2025/Precept-budget agreed at meeting 16.1.24/"/>
    </mc:Choice>
  </mc:AlternateContent>
  <xr:revisionPtr revIDLastSave="0" documentId="8_{31C8FF8B-F49F-4CC6-9AA7-2F831C08C133}" xr6:coauthVersionLast="47" xr6:coauthVersionMax="47" xr10:uidLastSave="{00000000-0000-0000-0000-000000000000}"/>
  <bookViews>
    <workbookView xWindow="28680" yWindow="-120" windowWidth="29040" windowHeight="15720" xr2:uid="{36BB83DE-D41A-4B15-B096-76D052DB54C8}"/>
  </bookViews>
  <sheets>
    <sheet name="Payments &amp; Budg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1" i="1" l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BM30" i="1"/>
  <c r="BM32" i="1"/>
  <c r="BM28" i="1" l="1"/>
  <c r="BM25" i="1"/>
  <c r="BM22" i="1"/>
  <c r="BM14" i="1"/>
  <c r="BM12" i="1"/>
  <c r="BM11" i="1"/>
  <c r="BM9" i="1"/>
  <c r="BM7" i="1"/>
  <c r="BM6" i="1"/>
  <c r="BL42" i="1"/>
  <c r="G73" i="1" l="1"/>
  <c r="AB28" i="1" l="1"/>
  <c r="AB14" i="1"/>
  <c r="AC14" i="1"/>
  <c r="BL5" i="1"/>
  <c r="BL6" i="1" l="1"/>
  <c r="BK7" i="1"/>
  <c r="BJ7" i="1"/>
  <c r="BI7" i="1"/>
  <c r="BH7" i="1"/>
  <c r="BG7" i="1"/>
  <c r="BF7" i="1"/>
  <c r="BE7" i="1"/>
  <c r="BD7" i="1"/>
  <c r="BC7" i="1"/>
  <c r="BB7" i="1"/>
  <c r="BA7" i="1"/>
  <c r="AZ7" i="1"/>
  <c r="BK5" i="1"/>
  <c r="BJ5" i="1"/>
  <c r="BI5" i="1"/>
  <c r="BH5" i="1"/>
  <c r="BG5" i="1"/>
  <c r="BF5" i="1"/>
  <c r="BE5" i="1"/>
  <c r="BD5" i="1"/>
  <c r="BC5" i="1"/>
  <c r="BB5" i="1"/>
  <c r="BA5" i="1"/>
  <c r="AZ5" i="1"/>
  <c r="BF36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BD18" i="1"/>
  <c r="BD16" i="1"/>
  <c r="BC12" i="1"/>
  <c r="BE11" i="1"/>
  <c r="BK11" i="1"/>
  <c r="BK9" i="1"/>
  <c r="BJ9" i="1"/>
  <c r="BI9" i="1"/>
  <c r="BH9" i="1"/>
  <c r="BG9" i="1"/>
  <c r="BF9" i="1"/>
  <c r="BE9" i="1"/>
  <c r="BD9" i="1"/>
  <c r="BC9" i="1"/>
  <c r="BB9" i="1"/>
  <c r="BA9" i="1"/>
  <c r="AZ9" i="1"/>
  <c r="BL14" i="1"/>
  <c r="AZ14" i="1" s="1"/>
  <c r="BL15" i="1" l="1"/>
  <c r="Y11" i="1"/>
  <c r="X18" i="1"/>
  <c r="AD36" i="1"/>
  <c r="AC36" i="1"/>
  <c r="AB36" i="1"/>
  <c r="AA36" i="1"/>
  <c r="Z36" i="1"/>
  <c r="Y36" i="1"/>
  <c r="X36" i="1"/>
  <c r="S36" i="1"/>
  <c r="T36" i="1"/>
  <c r="U36" i="1"/>
  <c r="V36" i="1"/>
  <c r="W36" i="1"/>
  <c r="U5" i="1"/>
  <c r="T5" i="1"/>
  <c r="T6" i="1"/>
  <c r="S5" i="1"/>
  <c r="S15" i="1"/>
  <c r="S7" i="1"/>
  <c r="G82" i="1"/>
  <c r="G83" i="1" s="1"/>
  <c r="BL40" i="1" l="1"/>
  <c r="BL44" i="1" s="1"/>
  <c r="BL47" i="1" s="1"/>
  <c r="BK38" i="1"/>
  <c r="BJ38" i="1"/>
  <c r="BG38" i="1"/>
  <c r="BD38" i="1"/>
  <c r="BI32" i="1"/>
  <c r="BF32" i="1"/>
  <c r="BC32" i="1"/>
  <c r="AZ32" i="1"/>
  <c r="BE30" i="1"/>
  <c r="BH28" i="1"/>
  <c r="BH38" i="1" s="1"/>
  <c r="BE22" i="1"/>
  <c r="BA19" i="1"/>
  <c r="BA38" i="1" s="1"/>
  <c r="BI15" i="1"/>
  <c r="BF15" i="1"/>
  <c r="BC15" i="1"/>
  <c r="AZ15" i="1"/>
  <c r="BI14" i="1"/>
  <c r="BF14" i="1"/>
  <c r="BF38" i="1" s="1"/>
  <c r="BC14" i="1"/>
  <c r="AZ6" i="1"/>
  <c r="BB38" i="1"/>
  <c r="AA15" i="1"/>
  <c r="X30" i="1"/>
  <c r="L73" i="1"/>
  <c r="G85" i="1" s="1"/>
  <c r="Y6" i="1"/>
  <c r="X15" i="1"/>
  <c r="AZ38" i="1" l="1"/>
  <c r="BI38" i="1"/>
  <c r="BE38" i="1"/>
  <c r="BC38" i="1"/>
  <c r="AG38" i="1"/>
  <c r="AG41" i="1" s="1"/>
  <c r="T14" i="1"/>
  <c r="AA6" i="1"/>
  <c r="AA14" i="1"/>
  <c r="AB15" i="1"/>
  <c r="W6" i="1"/>
  <c r="X6" i="1"/>
  <c r="X32" i="1"/>
  <c r="T12" i="1"/>
  <c r="U12" i="1"/>
  <c r="V5" i="1"/>
  <c r="U15" i="1"/>
  <c r="F73" i="1"/>
  <c r="AK5" i="1"/>
  <c r="AL5" i="1"/>
  <c r="AM5" i="1"/>
  <c r="AN5" i="1"/>
  <c r="AO5" i="1"/>
  <c r="AP5" i="1"/>
  <c r="AQ5" i="1"/>
  <c r="AR5" i="1"/>
  <c r="AS5" i="1"/>
  <c r="AT5" i="1"/>
  <c r="AU5" i="1"/>
  <c r="AV5" i="1"/>
  <c r="AK7" i="1"/>
  <c r="AL7" i="1"/>
  <c r="AM7" i="1"/>
  <c r="AN7" i="1"/>
  <c r="AO7" i="1"/>
  <c r="AP7" i="1"/>
  <c r="AQ7" i="1"/>
  <c r="AR7" i="1"/>
  <c r="AS7" i="1"/>
  <c r="AT7" i="1"/>
  <c r="AU7" i="1"/>
  <c r="AV7" i="1"/>
  <c r="AW9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S9" i="1"/>
  <c r="BP38" i="1"/>
  <c r="BP41" i="1" s="1"/>
  <c r="AD34" i="1"/>
  <c r="AC34" i="1"/>
  <c r="AB34" i="1"/>
  <c r="AA34" i="1"/>
  <c r="Z34" i="1"/>
  <c r="Y34" i="1"/>
  <c r="X34" i="1"/>
  <c r="W34" i="1"/>
  <c r="V34" i="1"/>
  <c r="U34" i="1"/>
  <c r="T34" i="1"/>
  <c r="S34" i="1"/>
  <c r="Z32" i="1"/>
  <c r="AD28" i="1"/>
  <c r="AC28" i="1"/>
  <c r="AA28" i="1"/>
  <c r="Z28" i="1"/>
  <c r="Y28" i="1"/>
  <c r="X28" i="1"/>
  <c r="W28" i="1"/>
  <c r="V28" i="1"/>
  <c r="U28" i="1"/>
  <c r="T28" i="1"/>
  <c r="S28" i="1"/>
  <c r="AD27" i="1"/>
  <c r="AC27" i="1"/>
  <c r="AB27" i="1"/>
  <c r="AA27" i="1"/>
  <c r="Z27" i="1"/>
  <c r="Y27" i="1"/>
  <c r="X27" i="1"/>
  <c r="W27" i="1"/>
  <c r="V27" i="1"/>
  <c r="U27" i="1"/>
  <c r="T27" i="1"/>
  <c r="S27" i="1"/>
  <c r="AB25" i="1"/>
  <c r="Z25" i="1"/>
  <c r="Y25" i="1"/>
  <c r="X25" i="1"/>
  <c r="AD22" i="1"/>
  <c r="AC22" i="1"/>
  <c r="AB22" i="1"/>
  <c r="AA22" i="1"/>
  <c r="Z22" i="1"/>
  <c r="Y22" i="1"/>
  <c r="X22" i="1"/>
  <c r="W22" i="1"/>
  <c r="V22" i="1"/>
  <c r="U22" i="1"/>
  <c r="T22" i="1"/>
  <c r="S22" i="1"/>
  <c r="AD20" i="1"/>
  <c r="AC20" i="1"/>
  <c r="AB20" i="1"/>
  <c r="AA20" i="1"/>
  <c r="Z20" i="1"/>
  <c r="Y20" i="1"/>
  <c r="X20" i="1"/>
  <c r="W20" i="1"/>
  <c r="V20" i="1"/>
  <c r="U20" i="1"/>
  <c r="T20" i="1"/>
  <c r="S20" i="1"/>
  <c r="AD19" i="1"/>
  <c r="AC19" i="1"/>
  <c r="AB19" i="1"/>
  <c r="AA19" i="1"/>
  <c r="Z19" i="1"/>
  <c r="Y19" i="1"/>
  <c r="X19" i="1"/>
  <c r="W19" i="1"/>
  <c r="V19" i="1"/>
  <c r="U19" i="1"/>
  <c r="T19" i="1"/>
  <c r="S19" i="1"/>
  <c r="AD18" i="1"/>
  <c r="AC18" i="1"/>
  <c r="AB18" i="1"/>
  <c r="AA18" i="1"/>
  <c r="Z18" i="1"/>
  <c r="Y18" i="1"/>
  <c r="W18" i="1"/>
  <c r="T18" i="1"/>
  <c r="S18" i="1"/>
  <c r="AD15" i="1"/>
  <c r="AC15" i="1"/>
  <c r="Z15" i="1"/>
  <c r="Y15" i="1"/>
  <c r="T15" i="1"/>
  <c r="W15" i="1"/>
  <c r="V15" i="1"/>
  <c r="AD14" i="1"/>
  <c r="Z14" i="1"/>
  <c r="Y14" i="1"/>
  <c r="X14" i="1"/>
  <c r="W14" i="1"/>
  <c r="V14" i="1"/>
  <c r="U14" i="1"/>
  <c r="S14" i="1"/>
  <c r="X11" i="1"/>
  <c r="X9" i="1"/>
  <c r="AB7" i="1"/>
  <c r="Z7" i="1"/>
  <c r="V7" i="1"/>
  <c r="T7" i="1"/>
  <c r="AD6" i="1"/>
  <c r="AC6" i="1"/>
  <c r="AB6" i="1"/>
  <c r="Z6" i="1"/>
  <c r="V6" i="1"/>
  <c r="U6" i="1"/>
  <c r="S6" i="1"/>
  <c r="AB5" i="1"/>
  <c r="AA5" i="1"/>
  <c r="Z5" i="1"/>
  <c r="Y5" i="1"/>
  <c r="X5" i="1"/>
  <c r="W5" i="1"/>
  <c r="I73" i="1"/>
  <c r="V9" i="1"/>
  <c r="T9" i="1"/>
  <c r="U9" i="1"/>
  <c r="W9" i="1"/>
  <c r="Y9" i="1"/>
  <c r="Z9" i="1"/>
  <c r="AA9" i="1"/>
  <c r="AB9" i="1"/>
  <c r="AC9" i="1"/>
  <c r="AD9" i="1"/>
  <c r="S25" i="1"/>
  <c r="T25" i="1"/>
  <c r="U25" i="1"/>
  <c r="V25" i="1"/>
  <c r="W25" i="1"/>
  <c r="AA25" i="1"/>
  <c r="AC25" i="1"/>
  <c r="AD25" i="1"/>
  <c r="K73" i="1"/>
  <c r="AC30" i="1"/>
  <c r="AA7" i="1"/>
  <c r="AA11" i="1"/>
  <c r="AA12" i="1"/>
  <c r="AA16" i="1"/>
  <c r="AA30" i="1"/>
  <c r="AA32" i="1"/>
  <c r="AC7" i="1"/>
  <c r="AC11" i="1"/>
  <c r="AC12" i="1"/>
  <c r="AC16" i="1"/>
  <c r="AC32" i="1"/>
  <c r="S11" i="1"/>
  <c r="S12" i="1"/>
  <c r="S16" i="1"/>
  <c r="S30" i="1"/>
  <c r="S32" i="1"/>
  <c r="T11" i="1"/>
  <c r="T16" i="1"/>
  <c r="T30" i="1"/>
  <c r="T32" i="1"/>
  <c r="U7" i="1"/>
  <c r="U11" i="1"/>
  <c r="U16" i="1"/>
  <c r="U30" i="1"/>
  <c r="U32" i="1"/>
  <c r="V11" i="1"/>
  <c r="V12" i="1"/>
  <c r="V16" i="1"/>
  <c r="V30" i="1"/>
  <c r="V32" i="1"/>
  <c r="W7" i="1"/>
  <c r="W11" i="1"/>
  <c r="W12" i="1"/>
  <c r="W16" i="1"/>
  <c r="W30" i="1"/>
  <c r="W32" i="1"/>
  <c r="X7" i="1"/>
  <c r="X12" i="1"/>
  <c r="X16" i="1"/>
  <c r="Y7" i="1"/>
  <c r="Y12" i="1"/>
  <c r="Y16" i="1"/>
  <c r="Y30" i="1"/>
  <c r="Y32" i="1"/>
  <c r="Z11" i="1"/>
  <c r="Z12" i="1"/>
  <c r="Z16" i="1"/>
  <c r="Z30" i="1"/>
  <c r="AB11" i="1"/>
  <c r="AB12" i="1"/>
  <c r="AB16" i="1"/>
  <c r="AB30" i="1"/>
  <c r="AB32" i="1"/>
  <c r="AD7" i="1"/>
  <c r="AD11" i="1"/>
  <c r="AD12" i="1"/>
  <c r="AD16" i="1"/>
  <c r="AD30" i="1"/>
  <c r="AD32" i="1"/>
  <c r="BK39" i="1" l="1"/>
  <c r="L76" i="1"/>
  <c r="AW18" i="1"/>
  <c r="AW27" i="1"/>
  <c r="AW22" i="1"/>
  <c r="AW36" i="1"/>
  <c r="AW15" i="1"/>
  <c r="AW25" i="1"/>
  <c r="AW16" i="1"/>
  <c r="AW7" i="1"/>
  <c r="AW5" i="1"/>
  <c r="AW20" i="1"/>
  <c r="AW14" i="1"/>
  <c r="T38" i="1"/>
  <c r="AL6" i="1" s="1"/>
  <c r="AE5" i="1"/>
  <c r="AF5" i="1" s="1"/>
  <c r="W38" i="1"/>
  <c r="Y38" i="1"/>
  <c r="AA38" i="1"/>
  <c r="AC38" i="1"/>
  <c r="U38" i="1"/>
  <c r="AE28" i="1"/>
  <c r="V38" i="1"/>
  <c r="X38" i="1"/>
  <c r="Z38" i="1"/>
  <c r="AB38" i="1"/>
  <c r="AD38" i="1"/>
  <c r="S38" i="1"/>
  <c r="AE27" i="1"/>
  <c r="AE34" i="1"/>
  <c r="AE16" i="1"/>
  <c r="AH16" i="1" s="1"/>
  <c r="AE9" i="1"/>
  <c r="AH9" i="1" s="1"/>
  <c r="AE19" i="1"/>
  <c r="AE32" i="1"/>
  <c r="AE22" i="1"/>
  <c r="AE18" i="1"/>
  <c r="AE25" i="1"/>
  <c r="AE20" i="1"/>
  <c r="AE36" i="1"/>
  <c r="AE30" i="1"/>
  <c r="AE6" i="1"/>
  <c r="AE12" i="1"/>
  <c r="AE14" i="1"/>
  <c r="AF14" i="1" s="1"/>
  <c r="AE11" i="1"/>
  <c r="AH11" i="1" s="1"/>
  <c r="AE15" i="1"/>
  <c r="AH15" i="1" s="1"/>
  <c r="AE7" i="1"/>
  <c r="AH7" i="1" s="1"/>
  <c r="AF18" i="1" l="1"/>
  <c r="AH5" i="1"/>
  <c r="BM5" i="1"/>
  <c r="AF36" i="1"/>
  <c r="AF22" i="1"/>
  <c r="AH6" i="1"/>
  <c r="AF6" i="1"/>
  <c r="AH12" i="1"/>
  <c r="AF12" i="1"/>
  <c r="AF28" i="1"/>
  <c r="AH14" i="1"/>
  <c r="AO6" i="1"/>
  <c r="AU6" i="1"/>
  <c r="AM11" i="1"/>
  <c r="AR11" i="1"/>
  <c r="AV11" i="1"/>
  <c r="AN12" i="1"/>
  <c r="AR12" i="1"/>
  <c r="AV12" i="1"/>
  <c r="AM19" i="1"/>
  <c r="AR19" i="1"/>
  <c r="AV19" i="1"/>
  <c r="AM28" i="1"/>
  <c r="AQ28" i="1"/>
  <c r="AL30" i="1"/>
  <c r="AQ30" i="1"/>
  <c r="AV30" i="1"/>
  <c r="AM32" i="1"/>
  <c r="AR32" i="1"/>
  <c r="AL34" i="1"/>
  <c r="AP34" i="1"/>
  <c r="AT34" i="1"/>
  <c r="AK6" i="1"/>
  <c r="AQ6" i="1"/>
  <c r="AL11" i="1"/>
  <c r="AQ11" i="1"/>
  <c r="AU11" i="1"/>
  <c r="AO12" i="1"/>
  <c r="AS12" i="1"/>
  <c r="AL19" i="1"/>
  <c r="AQ19" i="1"/>
  <c r="AU19" i="1"/>
  <c r="AN28" i="1"/>
  <c r="AR28" i="1"/>
  <c r="AK30" i="1"/>
  <c r="AP30" i="1"/>
  <c r="AU30" i="1"/>
  <c r="AO32" i="1"/>
  <c r="AT32" i="1"/>
  <c r="AK34" i="1"/>
  <c r="AO34" i="1"/>
  <c r="AS34" i="1"/>
  <c r="AR6" i="1"/>
  <c r="AK11" i="1"/>
  <c r="AO11" i="1"/>
  <c r="AT11" i="1"/>
  <c r="AK12" i="1"/>
  <c r="AP12" i="1"/>
  <c r="AT12" i="1"/>
  <c r="AK19" i="1"/>
  <c r="AP19" i="1"/>
  <c r="AT19" i="1"/>
  <c r="AK28" i="1"/>
  <c r="AO28" i="1"/>
  <c r="AT28" i="1"/>
  <c r="AO30" i="1"/>
  <c r="AT30" i="1"/>
  <c r="AK32" i="1"/>
  <c r="AP32" i="1"/>
  <c r="AU32" i="1"/>
  <c r="AN34" i="1"/>
  <c r="AR34" i="1"/>
  <c r="AV34" i="1"/>
  <c r="AN6" i="1"/>
  <c r="AT6" i="1"/>
  <c r="AN11" i="1"/>
  <c r="AS11" i="1"/>
  <c r="AL12" i="1"/>
  <c r="AQ12" i="1"/>
  <c r="AU12" i="1"/>
  <c r="AN19" i="1"/>
  <c r="AS19" i="1"/>
  <c r="AL28" i="1"/>
  <c r="AP28" i="1"/>
  <c r="AV28" i="1"/>
  <c r="AM30" i="1"/>
  <c r="AR30" i="1"/>
  <c r="AL32" i="1"/>
  <c r="AQ32" i="1"/>
  <c r="AV32" i="1"/>
  <c r="AM34" i="1"/>
  <c r="AQ34" i="1"/>
  <c r="AU34" i="1"/>
  <c r="AE38" i="1"/>
  <c r="AF38" i="1" l="1"/>
  <c r="AF41" i="1" s="1"/>
  <c r="AE41" i="1"/>
  <c r="AT38" i="1"/>
  <c r="AL38" i="1"/>
  <c r="AN38" i="1"/>
  <c r="AW32" i="1"/>
  <c r="AW19" i="1"/>
  <c r="AP38" i="1"/>
  <c r="AW11" i="1"/>
  <c r="AW34" i="1"/>
  <c r="AQ38" i="1"/>
  <c r="AV38" i="1"/>
  <c r="AM38" i="1"/>
  <c r="AO38" i="1"/>
  <c r="AS38" i="1"/>
  <c r="AW28" i="1"/>
  <c r="AW12" i="1"/>
  <c r="AR38" i="1"/>
  <c r="AW30" i="1"/>
  <c r="AW6" i="1"/>
  <c r="AK38" i="1"/>
  <c r="AU38" i="1"/>
  <c r="G87" i="1" l="1"/>
  <c r="G89" i="1" s="1"/>
  <c r="AW38" i="1"/>
  <c r="AW41" i="1" s="1"/>
</calcChain>
</file>

<file path=xl/sharedStrings.xml><?xml version="1.0" encoding="utf-8"?>
<sst xmlns="http://schemas.openxmlformats.org/spreadsheetml/2006/main" count="587" uniqueCount="295">
  <si>
    <t>REF NUMBER</t>
  </si>
  <si>
    <t>DATE PAID</t>
  </si>
  <si>
    <t>MONTH</t>
  </si>
  <si>
    <t>ITEM DESC</t>
  </si>
  <si>
    <t>INV/REF NUMBER</t>
  </si>
  <si>
    <t>INCOME ACCOUNT</t>
  </si>
  <si>
    <t>AMOUNT</t>
  </si>
  <si>
    <t>VAT paid</t>
  </si>
  <si>
    <t>TOTAL ITEM</t>
  </si>
  <si>
    <t>CHEQUE NUMBER</t>
  </si>
  <si>
    <t>REF NOTES</t>
  </si>
  <si>
    <t>TOTAL</t>
  </si>
  <si>
    <t>CLEARED AT BANK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</si>
  <si>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</si>
  <si>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</si>
  <si>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</si>
  <si>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</si>
  <si>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</si>
  <si>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</si>
  <si>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</si>
  <si>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</si>
  <si>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</si>
  <si>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</si>
  <si>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</si>
  <si>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</si>
  <si>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 SPENT</t>
  </si>
  <si>
    <t>BUDGET</t>
  </si>
  <si>
    <t>CLERK OFFICE</t>
  </si>
  <si>
    <t>CLERK EXPENSES</t>
  </si>
  <si>
    <t xml:space="preserve">PAYROLL </t>
  </si>
  <si>
    <t>AUDIT</t>
  </si>
  <si>
    <t>INSURANCE</t>
  </si>
  <si>
    <t>VILLAGE MAINTENANCE</t>
  </si>
  <si>
    <t>NET EXP</t>
  </si>
  <si>
    <t>VAT</t>
  </si>
  <si>
    <t>TOTAL EXP</t>
  </si>
  <si>
    <t>CONTINGENCY</t>
  </si>
  <si>
    <t>PLAY AREA</t>
  </si>
  <si>
    <t xml:space="preserve"> </t>
  </si>
  <si>
    <t xml:space="preserve">Total </t>
  </si>
  <si>
    <t>CLERK SALARY &amp; HRMC</t>
  </si>
  <si>
    <t>SUBSCRIPTIONS/DONATIONS/GRANTS</t>
  </si>
  <si>
    <t>STREETLIGHT RESERVE</t>
  </si>
  <si>
    <t>DEFIBRILATOR</t>
  </si>
  <si>
    <t>FIXED ASSETS</t>
  </si>
  <si>
    <t>ELECTIONS DISTRICT &amp; PARISH</t>
  </si>
  <si>
    <t xml:space="preserve">TRAINING </t>
  </si>
  <si>
    <t>SECTION 137</t>
  </si>
  <si>
    <t>CHRISTMAS</t>
  </si>
  <si>
    <t>ACTUAL v BUDGET</t>
  </si>
  <si>
    <t>EXPENSE CODE</t>
  </si>
  <si>
    <t>E-ON SUPPLY -STREETLIGHTS</t>
  </si>
  <si>
    <t>E-ON MAINTENANCE- STREETLIGHTS</t>
  </si>
  <si>
    <t xml:space="preserve">HIRE CHARGES / ZOOM </t>
  </si>
  <si>
    <t>BUDGET 2020/21</t>
  </si>
  <si>
    <t>TOTAL 20/21 Yr</t>
  </si>
  <si>
    <t xml:space="preserve">BUDGET COMMENTS </t>
  </si>
  <si>
    <t xml:space="preserve">COMMENTS </t>
  </si>
  <si>
    <t>PROPOSED FIGURE</t>
  </si>
  <si>
    <t xml:space="preserve">Clerks "Office Allowance". No change from previous budget. </t>
  </si>
  <si>
    <t xml:space="preserve">No Change at £5 per month. </t>
  </si>
  <si>
    <t xml:space="preserve">Reduced from £100 in previous budget to reflect actual costs. </t>
  </si>
  <si>
    <t xml:space="preserve">Increased from £677.04 to £725 to reflect rising insurance costs. </t>
  </si>
  <si>
    <t xml:space="preserve">Increased from £603 as Actual spend at £690. One further payment due.  </t>
  </si>
  <si>
    <t xml:space="preserve">2020/21 Actual very low as not paid Church donation. Figure reduced to £800 to reflect actuals. </t>
  </si>
  <si>
    <t xml:space="preserve">PC sum required. Nominal sum budgeted. </t>
  </si>
  <si>
    <t xml:space="preserve">Increased from £108 to reflect actual costs. </t>
  </si>
  <si>
    <t>Increased from £1100 to £1200 to reflect actual costs and to include maintenance of play area. Currently at £70 per month @ £10 hour</t>
  </si>
  <si>
    <t xml:space="preserve">As per previous budget. </t>
  </si>
  <si>
    <t>Maintenance &amp; Check</t>
  </si>
  <si>
    <t xml:space="preserve">No change. </t>
  </si>
  <si>
    <t xml:space="preserve">Actual spend during 2020/1 is lower as no Clerk Wages for the period April to June. Budget based on 8h week. </t>
  </si>
  <si>
    <t>Clerk expenses at £100 per quarter. Previous budget included provisions to purchase a new computer - now not required.  Reduced from £680 20/21</t>
  </si>
  <si>
    <t xml:space="preserve">Previous budget - £2582.03 - Actual spend is lower at present. Final year end bill is expected. Proposed small increase to previous budget. </t>
  </si>
  <si>
    <t xml:space="preserve">Legal requirement to budget a "reserve figure" Reserve as per previous years. </t>
  </si>
  <si>
    <t xml:space="preserve">Left at previous year to reflect new Councillors / Clerks roles. </t>
  </si>
  <si>
    <t xml:space="preserve">Separated out for 2021/2 year - Tree, £180, Salvation Army £100 (not paid this year as yet) Event £320. </t>
  </si>
  <si>
    <t xml:space="preserve">Previous budget £150. Increased due to repairs and inspections </t>
  </si>
  <si>
    <t xml:space="preserve">As per previous years. </t>
  </si>
  <si>
    <t>TOTAL PROPOSED BUDGET 21/22</t>
  </si>
  <si>
    <t>CHECK</t>
  </si>
  <si>
    <t xml:space="preserve">After Precept </t>
  </si>
  <si>
    <t>(Excludes VAT refunds)</t>
  </si>
  <si>
    <t>2023/2024</t>
  </si>
  <si>
    <r>
      <t xml:space="preserve">2023/2024 HPC Accounts &amp; Budget. </t>
    </r>
    <r>
      <rPr>
        <u/>
        <sz val="11"/>
        <color theme="1"/>
        <rFont val="Calibri"/>
        <family val="2"/>
        <scheme val="minor"/>
      </rPr>
      <t>Payments</t>
    </r>
  </si>
  <si>
    <t>2023/2024 ACTUALS TO DATE</t>
  </si>
  <si>
    <t>yr 23/4</t>
  </si>
  <si>
    <t>Debtors at 31st March 2023</t>
  </si>
  <si>
    <t>Cross check</t>
  </si>
  <si>
    <t>Total</t>
  </si>
  <si>
    <t>Opening Balance 1st April 2023</t>
  </si>
  <si>
    <t>Opening Bank Balance 1st April  for Year 23/24</t>
  </si>
  <si>
    <t>PRECEPT</t>
  </si>
  <si>
    <t>R1</t>
  </si>
  <si>
    <t>H JONES</t>
  </si>
  <si>
    <t>PAYROLL</t>
  </si>
  <si>
    <t>March wages (5 weeks)</t>
  </si>
  <si>
    <t>N POWER</t>
  </si>
  <si>
    <t>E-ON SUPPLY</t>
  </si>
  <si>
    <t>Xmas Supply</t>
  </si>
  <si>
    <t>Office expenses Dec  - Feb</t>
  </si>
  <si>
    <t>Jan - Mar Supply</t>
  </si>
  <si>
    <t>PI COMPANY</t>
  </si>
  <si>
    <t>Operational Inspection</t>
  </si>
  <si>
    <t>FPO 2</t>
  </si>
  <si>
    <t>FPO 1</t>
  </si>
  <si>
    <t>FPO 3</t>
  </si>
  <si>
    <t>FPO 4</t>
  </si>
  <si>
    <t>FPO 5</t>
  </si>
  <si>
    <t>R2</t>
  </si>
  <si>
    <t>HMRC</t>
  </si>
  <si>
    <t>11.4.23</t>
  </si>
  <si>
    <t>28.4.23</t>
  </si>
  <si>
    <t>After VAT Refund</t>
  </si>
  <si>
    <t>TJ BOOKKEEPING</t>
  </si>
  <si>
    <t>FPO 6</t>
  </si>
  <si>
    <t>Jan-Mar Payroll fee</t>
  </si>
  <si>
    <t>CB GROUND MAINTENANCE</t>
  </si>
  <si>
    <t>FPO 7</t>
  </si>
  <si>
    <t>Cut &amp; strim play area x 2, April</t>
  </si>
  <si>
    <t>R BANKS</t>
  </si>
  <si>
    <t>FPO 8</t>
  </si>
  <si>
    <t>Jan, Feb, Mar, April litter picking</t>
  </si>
  <si>
    <t>FPO 9</t>
  </si>
  <si>
    <t>Bin bags for litter picking</t>
  </si>
  <si>
    <t>FPO 10</t>
  </si>
  <si>
    <t>Toner cartridge for Clerk office printer</t>
  </si>
  <si>
    <t>CLERK SALARY</t>
  </si>
  <si>
    <t>FPO 11</t>
  </si>
  <si>
    <t>April wages (4 wks)</t>
  </si>
  <si>
    <t>FPO 12</t>
  </si>
  <si>
    <t>FPO 13</t>
  </si>
  <si>
    <t>May wages (4 wks)</t>
  </si>
  <si>
    <t>E-ON</t>
  </si>
  <si>
    <t>E-ON MAINTENANCE</t>
  </si>
  <si>
    <t>FPO 14</t>
  </si>
  <si>
    <t>E-ON Maintenance, quarter ending 30/6/23</t>
  </si>
  <si>
    <t>GALLAGHER</t>
  </si>
  <si>
    <t>FPO 15</t>
  </si>
  <si>
    <t>Annual Insurance premium for 2023-2024</t>
  </si>
  <si>
    <t>FPO 16</t>
  </si>
  <si>
    <t>Cut &amp; strim play area x 1, March</t>
  </si>
  <si>
    <t>FPO 17</t>
  </si>
  <si>
    <t>Cut &amp; strim play area x 2, May</t>
  </si>
  <si>
    <t>8.6.23</t>
  </si>
  <si>
    <t>H JONES (Cartridge Save)</t>
  </si>
  <si>
    <t>FPO 18</t>
  </si>
  <si>
    <t>Operational inspection</t>
  </si>
  <si>
    <t>LALC</t>
  </si>
  <si>
    <t>TRAINING</t>
  </si>
  <si>
    <t>FPO 19</t>
  </si>
  <si>
    <t>Annual Fee</t>
  </si>
  <si>
    <t>PROTECT SIGNS</t>
  </si>
  <si>
    <t>FPO 20</t>
  </si>
  <si>
    <t>Sign &amp; Stand for Community Speedwatch group</t>
  </si>
  <si>
    <t>HOWSAFE</t>
  </si>
  <si>
    <t>FPO 21</t>
  </si>
  <si>
    <t>High Vis Jackets for Community Speedwatch group</t>
  </si>
  <si>
    <t>CLERKSALARY</t>
  </si>
  <si>
    <t>22.6.23</t>
  </si>
  <si>
    <t>30.6.23</t>
  </si>
  <si>
    <t>FPO 22</t>
  </si>
  <si>
    <t>June wages 5 wks</t>
  </si>
  <si>
    <t>FPO 23</t>
  </si>
  <si>
    <t>1 Apr - 30 Jun</t>
  </si>
  <si>
    <t>10.7.23</t>
  </si>
  <si>
    <t>FPO 24</t>
  </si>
  <si>
    <t>Cut &amp; strim play area x 2, June</t>
  </si>
  <si>
    <t>HOUSE INTO HOME</t>
  </si>
  <si>
    <t>FPO 25</t>
  </si>
  <si>
    <t>Play equipment repairs &amp; materials</t>
  </si>
  <si>
    <t>STUART CLEGG ASSOCIATES LTD</t>
  </si>
  <si>
    <t>FPO 26</t>
  </si>
  <si>
    <t>Apr - June Payroll fee</t>
  </si>
  <si>
    <t>H JONES (Amazon)</t>
  </si>
  <si>
    <t>TRAFFIC CALMING</t>
  </si>
  <si>
    <t>FPO 27</t>
  </si>
  <si>
    <t>Counters and lanyards for CSW</t>
  </si>
  <si>
    <t>FPO 28</t>
  </si>
  <si>
    <t>FPO 29</t>
  </si>
  <si>
    <t>July wages 4 wks</t>
  </si>
  <si>
    <t>FPO 30</t>
  </si>
  <si>
    <t>Cut &amp; strim play area x 2, July</t>
  </si>
  <si>
    <t>25.7.23</t>
  </si>
  <si>
    <t>17.8.23</t>
  </si>
  <si>
    <t>FPO 31</t>
  </si>
  <si>
    <t>Quarter ending 30/9/23</t>
  </si>
  <si>
    <t>FPO 32</t>
  </si>
  <si>
    <t>Cut &amp; strim play area x 2, August</t>
  </si>
  <si>
    <t>FPO 33</t>
  </si>
  <si>
    <t>August wages 4 wks</t>
  </si>
  <si>
    <t>FPO 34</t>
  </si>
  <si>
    <t>Office expenses Mar - May</t>
  </si>
  <si>
    <t>Office expenses Jun - Aug</t>
  </si>
  <si>
    <t>LASER TECH</t>
  </si>
  <si>
    <t>FPO 35</t>
  </si>
  <si>
    <t>Radar for CSW</t>
  </si>
  <si>
    <t>H JONES (Sainsburys)</t>
  </si>
  <si>
    <t>FPO 36</t>
  </si>
  <si>
    <t xml:space="preserve">Files </t>
  </si>
  <si>
    <t>FPO 37</t>
  </si>
  <si>
    <t>Clip boards &amp; pens for CSW</t>
  </si>
  <si>
    <t>DD</t>
  </si>
  <si>
    <t xml:space="preserve">ICO </t>
  </si>
  <si>
    <t>SUBSCRIPTIONS/DONATIONS</t>
  </si>
  <si>
    <t>Annual data protection fee</t>
  </si>
  <si>
    <t>11.9.23</t>
  </si>
  <si>
    <t>7.9.23</t>
  </si>
  <si>
    <t>FPO 38</t>
  </si>
  <si>
    <t>Sept wages, 5 wks</t>
  </si>
  <si>
    <t>FPO 39</t>
  </si>
  <si>
    <t>Cut &amp; strim play area x 2, Sept</t>
  </si>
  <si>
    <t>FPO 40</t>
  </si>
  <si>
    <t>Vicarage Lane bench refurb</t>
  </si>
  <si>
    <t>FPO 41</t>
  </si>
  <si>
    <t>1 Jul - 30 Sept</t>
  </si>
  <si>
    <t>FPO 42</t>
  </si>
  <si>
    <t>FPO 43</t>
  </si>
  <si>
    <t>Internal controls course HJ</t>
  </si>
  <si>
    <t>Internal audit</t>
  </si>
  <si>
    <t>FPO 44</t>
  </si>
  <si>
    <t>Monthly fee Jul-Sept</t>
  </si>
  <si>
    <t>FPO 45</t>
  </si>
  <si>
    <t>3 new columns &amp; LED lights</t>
  </si>
  <si>
    <t>FPO 46</t>
  </si>
  <si>
    <t>Oct wages 4 wks</t>
  </si>
  <si>
    <t>FPO 47</t>
  </si>
  <si>
    <t>Cut &amp; strim play area x 2, Oct</t>
  </si>
  <si>
    <t>FPO 48</t>
  </si>
  <si>
    <t>Litter picking May - Sept incl.</t>
  </si>
  <si>
    <t>6.10.23</t>
  </si>
  <si>
    <t>30.10.23</t>
  </si>
  <si>
    <t>P WALLACE (Festive Lights)</t>
  </si>
  <si>
    <t>FPO 50</t>
  </si>
  <si>
    <t>FPO 49</t>
  </si>
  <si>
    <t>Bus shelter &amp; pump house treatment</t>
  </si>
  <si>
    <t>Replacement lights for village Christmas tree</t>
  </si>
  <si>
    <t>14.11.23</t>
  </si>
  <si>
    <t>H JONES (Sainsbury's)</t>
  </si>
  <si>
    <t>FPO 51</t>
  </si>
  <si>
    <t>H JONES (M&amp;S)</t>
  </si>
  <si>
    <t>FPO 52</t>
  </si>
  <si>
    <t>Mince pies, mulled wine etc for xmas event</t>
  </si>
  <si>
    <t>Yule log, mince pies etc for xmas event</t>
  </si>
  <si>
    <t>ASWARBY ESTATE</t>
  </si>
  <si>
    <t>FPO 53</t>
  </si>
  <si>
    <t>Village Christmas Tree</t>
  </si>
  <si>
    <t>FPO 54</t>
  </si>
  <si>
    <t>Cut &amp; Strim play area x 1, Nov</t>
  </si>
  <si>
    <t>FPO 55</t>
  </si>
  <si>
    <t>£404.16 Nov wages £480 back-pay</t>
  </si>
  <si>
    <t>FPO 56</t>
  </si>
  <si>
    <t>Quarter ending 31/12/23</t>
  </si>
  <si>
    <t>FPO 57</t>
  </si>
  <si>
    <t>Dec wages,5 wks</t>
  </si>
  <si>
    <t>FPO 58</t>
  </si>
  <si>
    <t>Sept - Nov</t>
  </si>
  <si>
    <t>18.12.23</t>
  </si>
  <si>
    <t>30.11.23</t>
  </si>
  <si>
    <t>24.11.23</t>
  </si>
  <si>
    <t>2024/2025</t>
  </si>
  <si>
    <t>BUDGET 2024/25</t>
  </si>
  <si>
    <t>2024/25 Budget</t>
  </si>
  <si>
    <t>Notes</t>
  </si>
  <si>
    <t>2 audits per year</t>
  </si>
  <si>
    <t>No planned Elections</t>
  </si>
  <si>
    <t>LALC Membership &amp; 3 courses</t>
  </si>
  <si>
    <t>Includes donation to SA</t>
  </si>
  <si>
    <t>for inspections etc as Maintenance is covered elsewhere</t>
  </si>
  <si>
    <t>Less what we will reclaim in VAT &amp; Litter Picking Grant</t>
  </si>
  <si>
    <t>HPC Reserve contribution to help keep precept as low as possible</t>
  </si>
  <si>
    <t>Precept Claim for 2024 2025</t>
  </si>
  <si>
    <t>12 months * £16.05</t>
  </si>
  <si>
    <t>Bank Balance 10 Jan 24</t>
  </si>
  <si>
    <t xml:space="preserve">Bank Balance for Meeting </t>
  </si>
  <si>
    <t>Expected total YE spend</t>
  </si>
  <si>
    <t>FORECAST YEAR END MARCH 2024 (G83-G87)</t>
  </si>
  <si>
    <t>8 Hours * 52 weeks = 416 hrs @ £12.63 Plus 3% increase (estimated)</t>
  </si>
  <si>
    <t>Inc pump house repairs but grant should be applied for also</t>
  </si>
  <si>
    <t>I have split out the maintenance &amp; the new lights</t>
  </si>
  <si>
    <t>Based on 8064.9 KWh per year * £0.50188 as per last EoN Bill (Dec 2023)</t>
  </si>
  <si>
    <t>Church Grass Cutting Grant</t>
  </si>
  <si>
    <t>FPO 59</t>
  </si>
  <si>
    <t>1 Oct - 31 Dec</t>
  </si>
  <si>
    <t>SALVATION ARMY LINCOLN</t>
  </si>
  <si>
    <t>FPO 60</t>
  </si>
  <si>
    <t>Donation for christmas event</t>
  </si>
  <si>
    <t xml:space="preserve">Actual Bank balance at 11 Jan 24 is </t>
  </si>
  <si>
    <t>Estimated YE</t>
  </si>
  <si>
    <t>Percentage change compared to 23 24 estimated YE</t>
  </si>
  <si>
    <t>Precept Claim for 2023 2024</t>
  </si>
  <si>
    <t>Difference (Increase)</t>
  </si>
  <si>
    <t>2024 2025 HPC Budget</t>
  </si>
  <si>
    <t>There was a laptop in 2023 2024</t>
  </si>
  <si>
    <t>3 new LED street lights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</si>
</sst>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52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1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0" fillId="0" borderId="1" xfId="0" applyNumberFormat="1" applyBorder="1"/>
    <xf numFmtId="4" fontId="0" fillId="0" borderId="6" xfId="0" applyNumberFormat="1" applyBorder="1" applyAlignment="1">
      <alignment horizontal="right"/>
    </xf>
    <xf numFmtId="0" fontId="3" fillId="0" borderId="1" xfId="0" applyFont="1" applyBorder="1"/>
    <xf numFmtId="4" fontId="0" fillId="0" borderId="0" xfId="0" applyNumberFormat="1"/>
    <xf numFmtId="4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4" fontId="4" fillId="0" borderId="0" xfId="0" applyNumberFormat="1" applyFont="1"/>
    <xf numFmtId="0" fontId="4" fillId="0" borderId="0" xfId="0" applyFont="1"/>
    <xf numFmtId="4" fontId="4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6" xfId="0" applyNumberFormat="1" applyBorder="1"/>
    <xf numFmtId="0" fontId="0" fillId="0" borderId="6" xfId="0" applyBorder="1"/>
    <xf numFmtId="4" fontId="5" fillId="0" borderId="0" xfId="0" applyNumberFormat="1" applyFont="1" applyAlignment="1">
      <alignment horizontal="left"/>
    </xf>
    <xf numFmtId="0" fontId="0" fillId="2" borderId="1" xfId="0" applyFill="1" applyBorder="1"/>
    <xf numFmtId="4" fontId="0" fillId="0" borderId="1" xfId="0" applyNumberFormat="1" applyBorder="1" applyAlignment="1">
      <alignment horizontal="left"/>
    </xf>
    <xf numFmtId="4" fontId="0" fillId="0" borderId="3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/>
    <xf numFmtId="0" fontId="0" fillId="0" borderId="14" xfId="0" applyBorder="1"/>
    <xf numFmtId="0" fontId="0" fillId="0" borderId="1" xfId="0" quotePrefix="1" applyBorder="1" applyAlignment="1">
      <alignment horizontal="left"/>
    </xf>
    <xf numFmtId="4" fontId="0" fillId="3" borderId="1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4" fontId="1" fillId="3" borderId="4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0" fontId="0" fillId="3" borderId="1" xfId="0" applyFill="1" applyBorder="1"/>
    <xf numFmtId="0" fontId="1" fillId="3" borderId="1" xfId="0" applyFont="1" applyFill="1" applyBorder="1"/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1" fillId="4" borderId="1" xfId="0" applyFont="1" applyFill="1" applyBorder="1"/>
    <xf numFmtId="0" fontId="4" fillId="4" borderId="1" xfId="0" applyFont="1" applyFill="1" applyBorder="1"/>
    <xf numFmtId="4" fontId="0" fillId="0" borderId="0" xfId="0" applyNumberForma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0" borderId="13" xfId="0" applyBorder="1"/>
    <xf numFmtId="0" fontId="0" fillId="2" borderId="6" xfId="0" applyFill="1" applyBorder="1"/>
    <xf numFmtId="0" fontId="4" fillId="2" borderId="7" xfId="0" applyFont="1" applyFill="1" applyBorder="1"/>
    <xf numFmtId="4" fontId="0" fillId="0" borderId="8" xfId="0" applyNumberFormat="1" applyBorder="1" applyAlignment="1">
      <alignment horizontal="left"/>
    </xf>
    <xf numFmtId="0" fontId="4" fillId="2" borderId="10" xfId="0" applyFont="1" applyFill="1" applyBorder="1"/>
    <xf numFmtId="0" fontId="0" fillId="3" borderId="6" xfId="0" applyFill="1" applyBorder="1"/>
    <xf numFmtId="0" fontId="4" fillId="3" borderId="7" xfId="0" applyFont="1" applyFill="1" applyBorder="1"/>
    <xf numFmtId="4" fontId="0" fillId="3" borderId="9" xfId="0" applyNumberFormat="1" applyFill="1" applyBorder="1" applyAlignment="1">
      <alignment horizontal="left"/>
    </xf>
    <xf numFmtId="0" fontId="4" fillId="3" borderId="10" xfId="0" applyFont="1" applyFill="1" applyBorder="1"/>
    <xf numFmtId="4" fontId="0" fillId="3" borderId="13" xfId="0" applyNumberFormat="1" applyFill="1" applyBorder="1" applyAlignment="1">
      <alignment horizontal="right"/>
    </xf>
    <xf numFmtId="4" fontId="0" fillId="3" borderId="8" xfId="0" applyNumberFormat="1" applyFill="1" applyBorder="1" applyAlignment="1">
      <alignment horizontal="left"/>
    </xf>
    <xf numFmtId="4" fontId="2" fillId="3" borderId="9" xfId="0" applyNumberFormat="1" applyFont="1" applyFill="1" applyBorder="1" applyAlignment="1">
      <alignment horizontal="left"/>
    </xf>
    <xf numFmtId="0" fontId="0" fillId="4" borderId="6" xfId="0" applyFill="1" applyBorder="1"/>
    <xf numFmtId="0" fontId="4" fillId="4" borderId="7" xfId="0" applyFont="1" applyFill="1" applyBorder="1"/>
    <xf numFmtId="0" fontId="4" fillId="4" borderId="10" xfId="0" applyFont="1" applyFill="1" applyBorder="1"/>
    <xf numFmtId="0" fontId="4" fillId="5" borderId="7" xfId="0" applyFont="1" applyFill="1" applyBorder="1" applyAlignment="1">
      <alignment horizontal="left"/>
    </xf>
    <xf numFmtId="0" fontId="4" fillId="5" borderId="10" xfId="0" applyFont="1" applyFill="1" applyBorder="1"/>
    <xf numFmtId="0" fontId="0" fillId="5" borderId="6" xfId="0" applyFill="1" applyBorder="1"/>
    <xf numFmtId="0" fontId="0" fillId="5" borderId="1" xfId="0" applyFill="1" applyBorder="1"/>
    <xf numFmtId="0" fontId="1" fillId="5" borderId="1" xfId="0" applyFont="1" applyFill="1" applyBorder="1"/>
    <xf numFmtId="0" fontId="4" fillId="5" borderId="1" xfId="0" applyFont="1" applyFill="1" applyBorder="1"/>
    <xf numFmtId="4" fontId="4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6" fontId="0" fillId="0" borderId="0" xfId="0" applyNumberForma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3" fillId="0" borderId="1" xfId="0" applyNumberFormat="1" applyFont="1" applyBorder="1"/>
    <xf numFmtId="0" fontId="1" fillId="0" borderId="12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8" xfId="0" applyBorder="1" applyAlignment="1">
      <alignment horizontal="left"/>
    </xf>
    <xf numFmtId="4" fontId="0" fillId="0" borderId="18" xfId="0" applyNumberFormat="1" applyBorder="1"/>
    <xf numFmtId="4" fontId="0" fillId="0" borderId="18" xfId="0" applyNumberFormat="1" applyBorder="1" applyAlignment="1">
      <alignment horizontal="right"/>
    </xf>
    <xf numFmtId="0" fontId="1" fillId="0" borderId="0" xfId="0" applyFont="1"/>
    <xf numFmtId="0" fontId="1" fillId="6" borderId="0" xfId="0" applyFont="1" applyFill="1"/>
    <xf numFmtId="0" fontId="4" fillId="6" borderId="0" xfId="0" applyFont="1" applyFill="1"/>
    <xf numFmtId="0" fontId="4" fillId="6" borderId="17" xfId="0" applyFont="1" applyFill="1" applyBorder="1"/>
    <xf numFmtId="0" fontId="0" fillId="6" borderId="18" xfId="0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4" fontId="6" fillId="4" borderId="1" xfId="0" applyNumberFormat="1" applyFont="1" applyFill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1" fillId="4" borderId="11" xfId="0" applyNumberFormat="1" applyFont="1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0" fillId="9" borderId="1" xfId="0" applyNumberForma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left"/>
    </xf>
    <xf numFmtId="164" fontId="0" fillId="0" borderId="1" xfId="0" applyNumberFormat="1" applyBorder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164" fontId="4" fillId="7" borderId="1" xfId="0" applyNumberFormat="1" applyFont="1" applyFill="1" applyBorder="1"/>
    <xf numFmtId="4" fontId="0" fillId="0" borderId="6" xfId="0" applyNumberFormat="1" applyBorder="1" applyAlignment="1">
      <alignment wrapText="1"/>
    </xf>
    <xf numFmtId="14" fontId="0" fillId="0" borderId="6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10" borderId="0" xfId="0" applyNumberFormat="1" applyFill="1" applyAlignment="1">
      <alignment horizontal="center"/>
    </xf>
    <xf numFmtId="4" fontId="0" fillId="10" borderId="8" xfId="0" applyNumberFormat="1" applyFill="1" applyBorder="1" applyAlignment="1">
      <alignment horizontal="center"/>
    </xf>
    <xf numFmtId="4" fontId="0" fillId="10" borderId="11" xfId="0" applyNumberFormat="1" applyFill="1" applyBorder="1" applyAlignment="1">
      <alignment horizontal="center"/>
    </xf>
    <xf numFmtId="4" fontId="0" fillId="10" borderId="6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164" fontId="0" fillId="10" borderId="1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0" borderId="0" xfId="0" applyNumberFormat="1"/>
    <xf numFmtId="164" fontId="1" fillId="3" borderId="4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8" fillId="11" borderId="0" xfId="0" applyNumberFormat="1" applyFont="1" applyFill="1"/>
    <xf numFmtId="8" fontId="1" fillId="0" borderId="0" xfId="0" applyNumberFormat="1" applyFont="1"/>
    <xf numFmtId="4" fontId="0" fillId="3" borderId="11" xfId="0" applyNumberFormat="1" applyFill="1" applyBorder="1" applyAlignment="1">
      <alignment horizontal="center"/>
    </xf>
    <xf numFmtId="164" fontId="0" fillId="8" borderId="1" xfId="0" applyNumberFormat="1" applyFill="1" applyBorder="1"/>
    <xf numFmtId="164" fontId="4" fillId="8" borderId="1" xfId="0" applyNumberFormat="1" applyFont="1" applyFill="1" applyBorder="1"/>
    <xf numFmtId="4" fontId="0" fillId="0" borderId="14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4" fontId="3" fillId="0" borderId="1" xfId="0" applyNumberFormat="1" applyFont="1" applyBorder="1" applyAlignment="1">
      <alignment horizontal="right"/>
    </xf>
    <xf numFmtId="164" fontId="1" fillId="6" borderId="2" xfId="0" applyNumberFormat="1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center"/>
    </xf>
    <xf numFmtId="164" fontId="10" fillId="9" borderId="1" xfId="0" applyNumberFormat="1" applyFont="1" applyFill="1" applyBorder="1" applyAlignment="1">
      <alignment horizontal="center"/>
    </xf>
    <xf numFmtId="164" fontId="1" fillId="6" borderId="5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0" xfId="0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01D45-00C1-42C9-A0E0-DF497DE88DF7}">
  <dimension ref="A1:BQ113"/>
  <sheetViews>
    <sheetView tabSelected="1" topLeftCell="AI1" zoomScaleNormal="100" workbookViewId="0">
      <pane ySplit="2" topLeftCell="A3" activePane="bottomLeft" state="frozen"/>
      <selection activeCell="C4" sqref="C4"/>
      <selection pane="bottomLeft" activeCell="CJ30" sqref="CJ30"/>
    </sheetView>
  </sheetViews>
  <sheetFormatPr defaultRowHeight="14.4" x14ac:dyDescent="0.3"/>
  <cols>
    <col min="1" max="1" width="14.44140625" customWidth="1"/>
    <col min="2" max="2" width="13" customWidth="1"/>
    <col min="3" max="3" width="16.109375" customWidth="1"/>
    <col min="4" max="4" width="20.44140625" customWidth="1"/>
    <col min="5" max="5" width="13" style="6" customWidth="1"/>
    <col min="6" max="6" width="12.33203125" customWidth="1"/>
    <col min="7" max="7" width="12.33203125" style="15" customWidth="1"/>
    <col min="8" max="8" width="32.5546875" customWidth="1"/>
    <col min="9" max="9" width="11.5546875" style="7" customWidth="1"/>
    <col min="10" max="10" width="6.88671875" style="7" customWidth="1"/>
    <col min="11" max="11" width="11.109375" style="15" customWidth="1"/>
    <col min="12" max="12" width="20.5546875" style="7" customWidth="1"/>
    <col min="13" max="13" width="12.109375" customWidth="1"/>
    <col min="14" max="14" width="40.5546875" customWidth="1"/>
    <col min="15" max="15" width="11" customWidth="1"/>
    <col min="16" max="16" width="18.109375" customWidth="1"/>
    <col min="17" max="17" width="9.88671875" style="151" customWidth="1"/>
    <col min="18" max="18" width="36.44140625" customWidth="1"/>
    <col min="19" max="23" width="9.109375" style="15"/>
    <col min="24" max="24" width="11.6640625" style="15" customWidth="1"/>
    <col min="25" max="25" width="9.109375" style="15"/>
    <col min="26" max="26" width="11.33203125" style="15" customWidth="1"/>
    <col min="27" max="27" width="11.6640625" style="15" customWidth="1"/>
    <col min="28" max="28" width="9.109375" style="15"/>
    <col min="29" max="29" width="11.109375" style="15" customWidth="1"/>
    <col min="30" max="30" width="9.109375" style="15"/>
    <col min="31" max="31" width="17" style="15" customWidth="1"/>
    <col min="32" max="32" width="15.109375" style="123" customWidth="1"/>
    <col min="33" max="33" width="13.44140625" style="15" customWidth="1"/>
    <col min="34" max="34" width="16.6640625" style="15" customWidth="1"/>
    <col min="35" max="35" width="9.109375" style="15"/>
    <col min="36" max="36" width="38" style="15" hidden="1" customWidth="1"/>
    <col min="37" max="37" width="11" style="15" hidden="1" customWidth="1"/>
    <col min="38" max="38" width="10.6640625" hidden="1" customWidth="1"/>
    <col min="39" max="39" width="11.109375" hidden="1" customWidth="1"/>
    <col min="40" max="40" width="11.44140625" hidden="1" customWidth="1"/>
    <col min="41" max="41" width="12" hidden="1" customWidth="1"/>
    <col min="42" max="42" width="12.88671875" hidden="1" customWidth="1"/>
    <col min="43" max="43" width="11.6640625" hidden="1" customWidth="1"/>
    <col min="44" max="44" width="11.88671875" hidden="1" customWidth="1"/>
    <col min="45" max="45" width="11.44140625" hidden="1" customWidth="1"/>
    <col min="46" max="46" width="11.109375" hidden="1" customWidth="1"/>
    <col min="47" max="48" width="11.88671875" hidden="1" customWidth="1"/>
    <col min="49" max="49" width="18.6640625" hidden="1" customWidth="1"/>
    <col min="50" max="50" width="0" hidden="1" customWidth="1"/>
    <col min="51" max="51" width="38.6640625" customWidth="1"/>
    <col min="52" max="56" width="0" hidden="1" customWidth="1"/>
    <col min="57" max="57" width="11.5546875" hidden="1" customWidth="1"/>
    <col min="58" max="58" width="12" hidden="1" customWidth="1"/>
    <col min="59" max="59" width="12.44140625" hidden="1" customWidth="1"/>
    <col min="60" max="60" width="13.33203125" hidden="1" customWidth="1"/>
    <col min="61" max="61" width="11.44140625" hidden="1" customWidth="1"/>
    <col min="62" max="62" width="11.88671875" hidden="1" customWidth="1"/>
    <col min="63" max="63" width="10.33203125" customWidth="1"/>
    <col min="64" max="64" width="17.88671875" style="127" customWidth="1"/>
    <col min="65" max="65" width="10.6640625" style="128" customWidth="1"/>
    <col min="66" max="66" width="27.44140625" customWidth="1"/>
    <col min="67" max="67" width="36.44140625" hidden="1" customWidth="1"/>
    <col min="68" max="68" width="19.33203125" style="52" hidden="1" customWidth="1"/>
    <col min="69" max="69" width="152.5546875" hidden="1" customWidth="1"/>
    <col min="70" max="71" width="0" hidden="1" customWidth="1"/>
  </cols>
  <sheetData>
    <row r="1" spans="1:69" ht="15" thickBot="1" x14ac:dyDescent="0.35">
      <c r="A1" s="95" t="s">
        <v>84</v>
      </c>
      <c r="B1" s="96"/>
      <c r="C1" s="96"/>
      <c r="D1" s="87"/>
      <c r="E1" s="89"/>
      <c r="F1" s="87"/>
      <c r="G1" s="90"/>
      <c r="H1" s="87"/>
      <c r="I1" s="91"/>
      <c r="J1" s="91"/>
      <c r="K1" s="90"/>
      <c r="L1" s="91"/>
      <c r="M1" s="87"/>
      <c r="N1" s="87"/>
      <c r="O1" s="87"/>
      <c r="P1" s="88"/>
      <c r="R1" s="94" t="s">
        <v>83</v>
      </c>
      <c r="AF1" s="15"/>
      <c r="AY1" s="93" t="s">
        <v>260</v>
      </c>
      <c r="BM1" s="142"/>
    </row>
    <row r="2" spans="1:69" s="6" customFormat="1" ht="87" thickBot="1" x14ac:dyDescent="0.35">
      <c r="A2" s="97" t="s">
        <v>0</v>
      </c>
      <c r="B2" s="98" t="s">
        <v>1</v>
      </c>
      <c r="C2" s="98" t="s">
        <v>2</v>
      </c>
      <c r="D2" s="98" t="s">
        <v>3</v>
      </c>
      <c r="E2" s="149" t="s">
        <v>4</v>
      </c>
      <c r="F2" s="149" t="s">
        <v>5</v>
      </c>
      <c r="G2" s="99" t="s">
        <v>6</v>
      </c>
      <c r="H2" s="100" t="s">
        <v>50</v>
      </c>
      <c r="I2" s="99" t="s">
        <v>6</v>
      </c>
      <c r="J2" s="99"/>
      <c r="K2" s="99" t="s">
        <v>7</v>
      </c>
      <c r="L2" s="99" t="s">
        <v>8</v>
      </c>
      <c r="M2" s="149" t="s">
        <v>9</v>
      </c>
      <c r="N2" s="98" t="s">
        <v>10</v>
      </c>
      <c r="O2" s="98" t="s">
        <v>11</v>
      </c>
      <c r="P2" s="101" t="s">
        <v>12</v>
      </c>
      <c r="Q2" s="151"/>
      <c r="R2" s="70" t="s">
        <v>85</v>
      </c>
      <c r="S2" s="60" t="s">
        <v>13</v>
      </c>
      <c r="T2" s="60" t="s">
        <v>14</v>
      </c>
      <c r="U2" s="60" t="s">
        <v>15</v>
      </c>
      <c r="V2" s="60" t="s">
        <v>16</v>
      </c>
      <c r="W2" s="60" t="s">
        <v>17</v>
      </c>
      <c r="X2" s="60" t="s">
        <v>18</v>
      </c>
      <c r="Y2" s="60" t="s">
        <v>19</v>
      </c>
      <c r="Z2" s="60" t="s">
        <v>20</v>
      </c>
      <c r="AA2" s="60" t="s">
        <v>21</v>
      </c>
      <c r="AB2" s="60" t="s">
        <v>22</v>
      </c>
      <c r="AC2" s="60" t="s">
        <v>23</v>
      </c>
      <c r="AD2" s="60" t="s">
        <v>24</v>
      </c>
      <c r="AE2" s="67" t="s">
        <v>25</v>
      </c>
      <c r="AF2" s="124" t="s">
        <v>288</v>
      </c>
      <c r="AG2" s="67" t="s">
        <v>26</v>
      </c>
      <c r="AH2" s="68" t="s">
        <v>49</v>
      </c>
      <c r="AI2" s="16"/>
      <c r="AJ2" s="63" t="s">
        <v>54</v>
      </c>
      <c r="AK2" s="60" t="s">
        <v>13</v>
      </c>
      <c r="AL2" s="60" t="s">
        <v>14</v>
      </c>
      <c r="AM2" s="60" t="s">
        <v>15</v>
      </c>
      <c r="AN2" s="60" t="s">
        <v>16</v>
      </c>
      <c r="AO2" s="60" t="s">
        <v>17</v>
      </c>
      <c r="AP2" s="60" t="s">
        <v>18</v>
      </c>
      <c r="AQ2" s="60" t="s">
        <v>19</v>
      </c>
      <c r="AR2" s="60" t="s">
        <v>20</v>
      </c>
      <c r="AS2" s="60" t="s">
        <v>21</v>
      </c>
      <c r="AT2" s="60" t="s">
        <v>22</v>
      </c>
      <c r="AU2" s="60" t="s">
        <v>23</v>
      </c>
      <c r="AV2" s="60" t="s">
        <v>24</v>
      </c>
      <c r="AW2" s="64" t="s">
        <v>55</v>
      </c>
      <c r="AY2" s="59" t="s">
        <v>261</v>
      </c>
      <c r="AZ2" s="106" t="s">
        <v>13</v>
      </c>
      <c r="BA2" s="106" t="s">
        <v>14</v>
      </c>
      <c r="BB2" s="106" t="s">
        <v>15</v>
      </c>
      <c r="BC2" s="106" t="s">
        <v>16</v>
      </c>
      <c r="BD2" s="106" t="s">
        <v>17</v>
      </c>
      <c r="BE2" s="106" t="s">
        <v>18</v>
      </c>
      <c r="BF2" s="106" t="s">
        <v>19</v>
      </c>
      <c r="BG2" s="106" t="s">
        <v>20</v>
      </c>
      <c r="BH2" s="106" t="s">
        <v>21</v>
      </c>
      <c r="BI2" s="106" t="s">
        <v>22</v>
      </c>
      <c r="BJ2" s="106" t="s">
        <v>23</v>
      </c>
      <c r="BK2" s="106" t="s">
        <v>24</v>
      </c>
      <c r="BL2" s="107" t="s">
        <v>262</v>
      </c>
      <c r="BM2" s="141" t="s">
        <v>289</v>
      </c>
      <c r="BN2" s="122" t="s">
        <v>263</v>
      </c>
      <c r="BO2" s="72" t="s">
        <v>56</v>
      </c>
      <c r="BP2" s="54" t="s">
        <v>58</v>
      </c>
      <c r="BQ2" s="55" t="s">
        <v>57</v>
      </c>
    </row>
    <row r="3" spans="1:69" ht="15" thickBot="1" x14ac:dyDescent="0.35">
      <c r="A3" s="102"/>
      <c r="B3" s="84"/>
      <c r="C3" s="84"/>
      <c r="D3" s="84"/>
      <c r="E3" s="150"/>
      <c r="F3" s="150"/>
      <c r="G3" s="85"/>
      <c r="H3" s="86"/>
      <c r="I3" s="85"/>
      <c r="J3" s="85"/>
      <c r="K3" s="85"/>
      <c r="L3" s="85"/>
      <c r="M3" s="150"/>
      <c r="N3" s="84"/>
      <c r="O3" s="84"/>
      <c r="P3" s="103"/>
      <c r="R3" s="71" t="s">
        <v>50</v>
      </c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138" t="s">
        <v>86</v>
      </c>
      <c r="AF3" s="125" t="s">
        <v>86</v>
      </c>
      <c r="AG3" s="138" t="s">
        <v>86</v>
      </c>
      <c r="AH3" s="66"/>
      <c r="AJ3" s="65" t="s">
        <v>50</v>
      </c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66"/>
      <c r="AY3" s="61" t="s">
        <v>50</v>
      </c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107"/>
      <c r="BM3" s="6"/>
      <c r="BO3" s="73" t="s">
        <v>50</v>
      </c>
      <c r="BP3" s="56"/>
      <c r="BQ3" s="57"/>
    </row>
    <row r="4" spans="1:69" x14ac:dyDescent="0.3">
      <c r="A4" s="28"/>
      <c r="B4" s="121"/>
      <c r="C4" s="29"/>
      <c r="D4" s="29"/>
      <c r="E4" s="26"/>
      <c r="F4" s="120"/>
      <c r="G4" s="30"/>
      <c r="H4" s="47"/>
      <c r="I4" s="13"/>
      <c r="J4" s="13"/>
      <c r="K4" s="31"/>
      <c r="L4" s="13"/>
      <c r="M4" s="27"/>
      <c r="N4" s="29"/>
      <c r="O4" s="29"/>
      <c r="P4" s="32"/>
      <c r="R4" s="69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44"/>
      <c r="AF4" s="126"/>
      <c r="AG4" s="44"/>
      <c r="AH4" s="44"/>
      <c r="AJ4" s="62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44"/>
      <c r="AY4" s="58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104"/>
      <c r="BM4" s="142"/>
      <c r="BO4" s="74"/>
      <c r="BP4" s="30"/>
      <c r="BQ4" s="32"/>
    </row>
    <row r="5" spans="1:69" x14ac:dyDescent="0.3">
      <c r="A5" s="2" t="s">
        <v>93</v>
      </c>
      <c r="B5" s="4">
        <v>45019</v>
      </c>
      <c r="C5" s="4" t="s">
        <v>13</v>
      </c>
      <c r="D5" s="1" t="s">
        <v>92</v>
      </c>
      <c r="E5" s="1"/>
      <c r="F5" s="9">
        <v>15777.74</v>
      </c>
      <c r="G5" s="9"/>
      <c r="H5" s="48"/>
      <c r="I5" s="11"/>
      <c r="J5" s="11"/>
      <c r="K5" s="12"/>
      <c r="L5" s="11"/>
      <c r="M5" s="2"/>
      <c r="N5" s="1"/>
      <c r="O5" s="2"/>
      <c r="P5" s="10"/>
      <c r="R5" s="49" t="s">
        <v>40</v>
      </c>
      <c r="S5" s="9">
        <f>SUMIFS(L5:L72,C5:C72,"APRIL",H5:H72,"CLERK SALARY")</f>
        <v>425.2</v>
      </c>
      <c r="T5" s="9">
        <f>SUMIFS(L5:L72,C5:C72,"MAY",H5:H72,"CLERK SALARY")</f>
        <v>0</v>
      </c>
      <c r="U5" s="9">
        <f>SUMIFS(L5:L72,C5:C72,"JUNE",H5:H72,"CLERKSALARY")</f>
        <v>680.32</v>
      </c>
      <c r="V5" s="9">
        <f>SUMIFS(L5:L72,C5:C72,"JULY",H5:H72,"CLERK SALARY")</f>
        <v>425.2</v>
      </c>
      <c r="W5" s="9">
        <f>SUMIFS(L5:L72,C5:C72,"AUGUST",H5:H72,"CLERK SALARY")</f>
        <v>340.16</v>
      </c>
      <c r="X5" s="9">
        <f>SUMIFS(L5:L72,C5:C72,"SEPTEMBER",H5:H72,"CLERK SALARY")</f>
        <v>340.16</v>
      </c>
      <c r="Y5" s="9">
        <f>SUMIFS(L5:L72,C5:C72,"OCTOBER",H5:H72,"CLERK SALARY")</f>
        <v>425.2</v>
      </c>
      <c r="Z5" s="9">
        <f>SUMIFS(L5:L72,C5:C72,"NOVEMBER",H5:H72,"CLERK SALARY")</f>
        <v>340.16</v>
      </c>
      <c r="AA5" s="9">
        <f>SUMIFS(L5:L72,C5:C72,"DECEMBER",H5:H72,"CLERK SALARY")</f>
        <v>884.16</v>
      </c>
      <c r="AB5" s="9">
        <f>SUMIFS(L5:L72,C5:C72,"JANUARY",H5:H72,"CLERK SALARY")</f>
        <v>505.2</v>
      </c>
      <c r="AC5" s="9">
        <v>404.16</v>
      </c>
      <c r="AD5" s="9">
        <v>484</v>
      </c>
      <c r="AE5" s="41">
        <f>SUM(S5:AD5)</f>
        <v>5253.9199999999992</v>
      </c>
      <c r="AF5" s="130">
        <f>AE5</f>
        <v>5253.9199999999992</v>
      </c>
      <c r="AG5" s="41">
        <v>4983.2896000000001</v>
      </c>
      <c r="AH5" s="41">
        <f>SUM(AG5-AE5)</f>
        <v>-270.6303999999991</v>
      </c>
      <c r="AJ5" s="45" t="s">
        <v>40</v>
      </c>
      <c r="AK5" s="9">
        <f>SUM(4226.56/12)</f>
        <v>352.21333333333337</v>
      </c>
      <c r="AL5" s="9">
        <f t="shared" ref="AL5:AV5" si="0">SUM(4226.56/12)</f>
        <v>352.21333333333337</v>
      </c>
      <c r="AM5" s="9">
        <f t="shared" si="0"/>
        <v>352.21333333333337</v>
      </c>
      <c r="AN5" s="9">
        <f t="shared" si="0"/>
        <v>352.21333333333337</v>
      </c>
      <c r="AO5" s="9">
        <f t="shared" si="0"/>
        <v>352.21333333333337</v>
      </c>
      <c r="AP5" s="9">
        <f t="shared" si="0"/>
        <v>352.21333333333337</v>
      </c>
      <c r="AQ5" s="9">
        <f t="shared" si="0"/>
        <v>352.21333333333337</v>
      </c>
      <c r="AR5" s="9">
        <f t="shared" si="0"/>
        <v>352.21333333333337</v>
      </c>
      <c r="AS5" s="9">
        <f t="shared" si="0"/>
        <v>352.21333333333337</v>
      </c>
      <c r="AT5" s="9">
        <f t="shared" si="0"/>
        <v>352.21333333333337</v>
      </c>
      <c r="AU5" s="9">
        <f t="shared" si="0"/>
        <v>352.21333333333337</v>
      </c>
      <c r="AV5" s="9">
        <f t="shared" si="0"/>
        <v>352.21333333333337</v>
      </c>
      <c r="AW5" s="41">
        <f>SUM(AK5:AV5)</f>
        <v>4226.5599999999995</v>
      </c>
      <c r="AY5" s="34" t="s">
        <v>40</v>
      </c>
      <c r="AZ5" s="9">
        <f>$BL5/12</f>
        <v>450.97520000000003</v>
      </c>
      <c r="BA5" s="9">
        <f t="shared" ref="BA5:BK5" si="1">$BL5/12</f>
        <v>450.97520000000003</v>
      </c>
      <c r="BB5" s="9">
        <f t="shared" si="1"/>
        <v>450.97520000000003</v>
      </c>
      <c r="BC5" s="9">
        <f t="shared" si="1"/>
        <v>450.97520000000003</v>
      </c>
      <c r="BD5" s="9">
        <f t="shared" si="1"/>
        <v>450.97520000000003</v>
      </c>
      <c r="BE5" s="9">
        <f t="shared" si="1"/>
        <v>450.97520000000003</v>
      </c>
      <c r="BF5" s="9">
        <f t="shared" si="1"/>
        <v>450.97520000000003</v>
      </c>
      <c r="BG5" s="9">
        <f t="shared" si="1"/>
        <v>450.97520000000003</v>
      </c>
      <c r="BH5" s="9">
        <f t="shared" si="1"/>
        <v>450.97520000000003</v>
      </c>
      <c r="BI5" s="9">
        <f t="shared" si="1"/>
        <v>450.97520000000003</v>
      </c>
      <c r="BJ5" s="9">
        <f t="shared" si="1"/>
        <v>450.97520000000003</v>
      </c>
      <c r="BK5" s="9">
        <f t="shared" si="1"/>
        <v>450.97520000000003</v>
      </c>
      <c r="BL5" s="129">
        <f>(416*12.63)*1.03</f>
        <v>5411.7024000000001</v>
      </c>
      <c r="BM5" s="143">
        <f>(BL5-AF5)/AF5</f>
        <v>3.0031367055455924E-2</v>
      </c>
      <c r="BN5" t="s">
        <v>277</v>
      </c>
      <c r="BO5" s="75" t="s">
        <v>40</v>
      </c>
      <c r="BP5" s="9">
        <v>4500</v>
      </c>
      <c r="BQ5" s="8" t="s">
        <v>71</v>
      </c>
    </row>
    <row r="6" spans="1:69" x14ac:dyDescent="0.3">
      <c r="A6" s="2">
        <v>1</v>
      </c>
      <c r="B6" s="4">
        <v>45027</v>
      </c>
      <c r="C6" s="4" t="s">
        <v>13</v>
      </c>
      <c r="D6" s="1" t="s">
        <v>94</v>
      </c>
      <c r="E6" s="1"/>
      <c r="F6" s="2"/>
      <c r="G6" s="9">
        <v>425.2</v>
      </c>
      <c r="H6" s="48" t="s">
        <v>127</v>
      </c>
      <c r="I6" s="11">
        <v>425.2</v>
      </c>
      <c r="J6" s="11"/>
      <c r="K6" s="12"/>
      <c r="L6" s="11">
        <v>425.2</v>
      </c>
      <c r="M6" s="2" t="s">
        <v>105</v>
      </c>
      <c r="N6" s="1" t="s">
        <v>96</v>
      </c>
      <c r="O6" s="9">
        <v>425.2</v>
      </c>
      <c r="P6" s="10" t="s">
        <v>111</v>
      </c>
      <c r="R6" s="49" t="s">
        <v>27</v>
      </c>
      <c r="S6" s="9">
        <f>SUMIFS(L5:L72,C5:C72,"APRIL",H5:H72,"CLERK OFFICE")</f>
        <v>45</v>
      </c>
      <c r="T6" s="9">
        <f>SUMIFS(L5:L72,C5:C72,"MAY",H5:H72,"CLERK OFFICE")</f>
        <v>0</v>
      </c>
      <c r="U6" s="9">
        <f>SUMIFS(L5:L72,C5:C72,"JUNE",H5:H72,"CLERK OFFICE")</f>
        <v>47.1</v>
      </c>
      <c r="V6" s="9">
        <f>SUMIFS(L5:L72,C5:C72,"JULY",H5:H72,"CLERK OFFICE")</f>
        <v>0</v>
      </c>
      <c r="W6" s="9">
        <f>SUMIFS(L5:L72,C5:C72,"AUGUST",H5:H72,"CLERK OFFICE")</f>
        <v>0</v>
      </c>
      <c r="X6" s="9">
        <f>SUMIFS(L5:L72,C5:C72,"SEPTEMBER",H5:H72,"CLERK OFFICE")</f>
        <v>48.15</v>
      </c>
      <c r="Y6" s="9">
        <f>SUMIFS(L5:L72,C5:C72,"OCTOBER",H5:H72,"CLERK OFFICE")</f>
        <v>0</v>
      </c>
      <c r="Z6" s="9">
        <f>SUMIFS(L5:L72,C5:C72,"NOVEMBER",H5:H72,"CLERK OFFICE")</f>
        <v>0</v>
      </c>
      <c r="AA6" s="9">
        <f>SUMIFS(L5:L72,C5:C72,"DECEMBER",H5:H72,"CLERK OFFICE")</f>
        <v>0</v>
      </c>
      <c r="AB6" s="9">
        <f>SUMIFS(L5:L72,C5:C72,"JANUARY",H5:H72,"CLERK OFFICE")</f>
        <v>48.15</v>
      </c>
      <c r="AC6" s="9">
        <f>SUMIFS(L5:L72,C5:C72,"FEBRUARY",H5:H72,"CLERK OFFICE")</f>
        <v>0</v>
      </c>
      <c r="AD6" s="9">
        <f>SUMIFS(L5:L72,C5:C72,"MARCH",H5:H72,"CLERK OFFICE")</f>
        <v>0</v>
      </c>
      <c r="AE6" s="41">
        <f t="shared" ref="AE6:AE32" si="2">SUM(S6:AD6)</f>
        <v>188.4</v>
      </c>
      <c r="AF6" s="130">
        <f>AE6</f>
        <v>188.4</v>
      </c>
      <c r="AG6" s="41">
        <v>192.60000000000002</v>
      </c>
      <c r="AH6" s="41">
        <f t="shared" ref="AH6:AH16" si="3">SUM(AG6-AE6)</f>
        <v>4.2000000000000171</v>
      </c>
      <c r="AJ6" s="45" t="s">
        <v>27</v>
      </c>
      <c r="AK6" s="9">
        <f>SUMIFS(AC5:AC43,T5:T43,"APRIL",Y5:Y43,"CLERK OFFICE")</f>
        <v>0</v>
      </c>
      <c r="AL6" s="9">
        <f>SUMIFS(AC5:AC43,T5:T43,"MAY",Y5:Y43,"CLERK OFFICE")</f>
        <v>0</v>
      </c>
      <c r="AM6" s="9">
        <v>45</v>
      </c>
      <c r="AN6" s="9">
        <f>SUMIFS(AC5:AC43,T5:T43,"JULY",Y5:Y43,"CLERK OFFICE")</f>
        <v>0</v>
      </c>
      <c r="AO6" s="9">
        <f>SUMIFS(AC5:AC43,T5:T43,"AUGUST",Y5:Y43,"CLERK OFFICE")</f>
        <v>0</v>
      </c>
      <c r="AP6" s="9">
        <v>45</v>
      </c>
      <c r="AQ6" s="9">
        <f>SUMIFS(AC5:AC43,T5:T43,"OCTOBER",Y5:Y43,"CLERK OFFICE")</f>
        <v>0</v>
      </c>
      <c r="AR6" s="9">
        <f>SUMIFS(AC5:AC43,T5:T43,"NOVEMBER",Y5:Y43,"CLERK OFFICE")</f>
        <v>0</v>
      </c>
      <c r="AS6" s="9">
        <v>45</v>
      </c>
      <c r="AT6" s="9">
        <f>SUMIFS(AC5:AC43,T5:T43,"JANUARY",Y5:Y43,"CLERK OFFICE")</f>
        <v>0</v>
      </c>
      <c r="AU6" s="9">
        <f>SUMIFS(AC5:AC43,T5:T43,"FEBRUARY",Y5:Y43,"CLERK OFFICE")</f>
        <v>0</v>
      </c>
      <c r="AV6" s="9">
        <v>45</v>
      </c>
      <c r="AW6" s="41">
        <f t="shared" ref="AW6:AW7" si="4">SUM(AK6:AV6)</f>
        <v>180</v>
      </c>
      <c r="AY6" s="34" t="s">
        <v>27</v>
      </c>
      <c r="AZ6" s="9">
        <f t="shared" ref="AZ6" si="5">BL6/12</f>
        <v>16.05</v>
      </c>
      <c r="BA6" s="9">
        <v>16.05</v>
      </c>
      <c r="BB6" s="9">
        <v>16.05</v>
      </c>
      <c r="BC6" s="9">
        <v>16.05</v>
      </c>
      <c r="BD6" s="9">
        <v>16.05</v>
      </c>
      <c r="BE6" s="9">
        <v>16.05</v>
      </c>
      <c r="BF6" s="9">
        <v>16.05</v>
      </c>
      <c r="BG6" s="9">
        <v>16.05</v>
      </c>
      <c r="BH6" s="9">
        <v>16.05</v>
      </c>
      <c r="BI6" s="9">
        <v>16.05</v>
      </c>
      <c r="BJ6" s="9">
        <v>16.05</v>
      </c>
      <c r="BK6" s="9">
        <v>16.05</v>
      </c>
      <c r="BL6" s="129">
        <f>12*16.05</f>
        <v>192.60000000000002</v>
      </c>
      <c r="BM6" s="143">
        <f t="shared" ref="BM6:BM9" si="6">(BL6-AF6)/AF6</f>
        <v>2.2292993630573337E-2</v>
      </c>
      <c r="BN6" t="s">
        <v>272</v>
      </c>
      <c r="BO6" s="75" t="s">
        <v>27</v>
      </c>
      <c r="BP6" s="9">
        <v>180</v>
      </c>
      <c r="BQ6" s="8" t="s">
        <v>59</v>
      </c>
    </row>
    <row r="7" spans="1:69" x14ac:dyDescent="0.3">
      <c r="A7" s="2">
        <v>2</v>
      </c>
      <c r="B7" s="4">
        <v>45027</v>
      </c>
      <c r="C7" s="4" t="s">
        <v>13</v>
      </c>
      <c r="D7" s="8" t="s">
        <v>97</v>
      </c>
      <c r="E7" s="1"/>
      <c r="F7" s="2"/>
      <c r="G7" s="9">
        <v>7.88</v>
      </c>
      <c r="H7" s="48" t="s">
        <v>98</v>
      </c>
      <c r="I7" s="11">
        <v>7.5</v>
      </c>
      <c r="J7" s="11"/>
      <c r="K7" s="12">
        <v>0.38</v>
      </c>
      <c r="L7" s="11">
        <v>7.88</v>
      </c>
      <c r="M7" s="2" t="s">
        <v>104</v>
      </c>
      <c r="N7" s="1" t="s">
        <v>99</v>
      </c>
      <c r="O7" s="2">
        <v>7.88</v>
      </c>
      <c r="P7" s="10" t="s">
        <v>111</v>
      </c>
      <c r="R7" s="49" t="s">
        <v>28</v>
      </c>
      <c r="S7" s="9">
        <f>SUMIFS(L5:L72,C5:C72,"APRIL",H5:H72,"CLERK EXPENSES")</f>
        <v>0</v>
      </c>
      <c r="T7" s="9">
        <f>SUMIFS(L5:L72,C5:C72,"MAY",H5:H72,"CLERK EXPENSES")</f>
        <v>0</v>
      </c>
      <c r="U7" s="9">
        <f>SUMIFS(L5:L72,C5:C72,"JUNE",H5:H72,"CLERK EXPENSES")</f>
        <v>37.130000000000003</v>
      </c>
      <c r="V7" s="9">
        <f>SUMIFS(L5:L72,C5:C72,"JULY",H5:H72,"CLERK EXPENSES")</f>
        <v>0</v>
      </c>
      <c r="W7" s="9">
        <f>SUMIFS(L5:L72,C5:C72,"AUGUST",H5:H72,"CLERK EXPENSES")</f>
        <v>0</v>
      </c>
      <c r="X7" s="9">
        <f>SUMIFS(L5:L72,C5:C72,"SEPTEMBER",H5:H72,"CLERK EXPENSES")</f>
        <v>8.24</v>
      </c>
      <c r="Y7" s="9">
        <f>SUMIFS(L5:L72,C5:C72,"OCTOBER",H5:H72,"CLERK EXPENSES")</f>
        <v>0</v>
      </c>
      <c r="Z7" s="9">
        <f>SUMIFS(L5:L72,C5:C72,"NOVEMBER",H5:H72,"CLERK EXPENSES")</f>
        <v>0</v>
      </c>
      <c r="AA7" s="9">
        <f>SUMIFS(L5:L72,C5:C72,"DECEMBER",H5:H72,"CLERK EXPENSES")</f>
        <v>0</v>
      </c>
      <c r="AB7" s="9">
        <f>SUMIFS(L5:L72,C5:C72,"JANUARY",H5:H72,"CLERK EXPENSES")</f>
        <v>0</v>
      </c>
      <c r="AC7" s="9">
        <f>SUMIFS(L5:L72,C5:C72,"FEBRUARY",H5:H72,"CLERK EXPENSES")</f>
        <v>0</v>
      </c>
      <c r="AD7" s="9">
        <f>SUMIFS(L5:L72,C5:C72,"MARCH",H5:H72,"CLERK EXPENSES")</f>
        <v>0</v>
      </c>
      <c r="AE7" s="41">
        <f t="shared" si="2"/>
        <v>45.370000000000005</v>
      </c>
      <c r="AF7" s="130">
        <v>545.37</v>
      </c>
      <c r="AG7" s="41">
        <v>963.98929999999996</v>
      </c>
      <c r="AH7" s="41">
        <f t="shared" si="3"/>
        <v>918.61929999999995</v>
      </c>
      <c r="AJ7" s="45" t="s">
        <v>28</v>
      </c>
      <c r="AK7" s="9">
        <f>SUM(680/12)</f>
        <v>56.666666666666664</v>
      </c>
      <c r="AL7" s="9">
        <f t="shared" ref="AL7:AV7" si="7">SUM(680/12)</f>
        <v>56.666666666666664</v>
      </c>
      <c r="AM7" s="9">
        <f t="shared" si="7"/>
        <v>56.666666666666664</v>
      </c>
      <c r="AN7" s="9">
        <f t="shared" si="7"/>
        <v>56.666666666666664</v>
      </c>
      <c r="AO7" s="9">
        <f t="shared" si="7"/>
        <v>56.666666666666664</v>
      </c>
      <c r="AP7" s="9">
        <f t="shared" si="7"/>
        <v>56.666666666666664</v>
      </c>
      <c r="AQ7" s="9">
        <f t="shared" si="7"/>
        <v>56.666666666666664</v>
      </c>
      <c r="AR7" s="9">
        <f t="shared" si="7"/>
        <v>56.666666666666664</v>
      </c>
      <c r="AS7" s="9">
        <f t="shared" si="7"/>
        <v>56.666666666666664</v>
      </c>
      <c r="AT7" s="9">
        <f t="shared" si="7"/>
        <v>56.666666666666664</v>
      </c>
      <c r="AU7" s="9">
        <f t="shared" si="7"/>
        <v>56.666666666666664</v>
      </c>
      <c r="AV7" s="9">
        <f t="shared" si="7"/>
        <v>56.666666666666664</v>
      </c>
      <c r="AW7" s="41">
        <f t="shared" si="4"/>
        <v>680</v>
      </c>
      <c r="AY7" s="34" t="s">
        <v>28</v>
      </c>
      <c r="AZ7" s="9">
        <f>$BL7/12</f>
        <v>12.5</v>
      </c>
      <c r="BA7" s="9">
        <f t="shared" ref="BA7:BK7" si="8">$BL7/12</f>
        <v>12.5</v>
      </c>
      <c r="BB7" s="9">
        <f t="shared" si="8"/>
        <v>12.5</v>
      </c>
      <c r="BC7" s="9">
        <f t="shared" si="8"/>
        <v>12.5</v>
      </c>
      <c r="BD7" s="9">
        <f t="shared" si="8"/>
        <v>12.5</v>
      </c>
      <c r="BE7" s="9">
        <f t="shared" si="8"/>
        <v>12.5</v>
      </c>
      <c r="BF7" s="9">
        <f t="shared" si="8"/>
        <v>12.5</v>
      </c>
      <c r="BG7" s="9">
        <f t="shared" si="8"/>
        <v>12.5</v>
      </c>
      <c r="BH7" s="9">
        <f t="shared" si="8"/>
        <v>12.5</v>
      </c>
      <c r="BI7" s="9">
        <f t="shared" si="8"/>
        <v>12.5</v>
      </c>
      <c r="BJ7" s="9">
        <f t="shared" si="8"/>
        <v>12.5</v>
      </c>
      <c r="BK7" s="9">
        <f t="shared" si="8"/>
        <v>12.5</v>
      </c>
      <c r="BL7" s="129">
        <v>150</v>
      </c>
      <c r="BM7" s="143">
        <f t="shared" si="6"/>
        <v>-0.72495736839210079</v>
      </c>
      <c r="BN7" t="s">
        <v>293</v>
      </c>
      <c r="BO7" s="75" t="s">
        <v>28</v>
      </c>
      <c r="BP7" s="9">
        <v>400</v>
      </c>
      <c r="BQ7" s="8" t="s">
        <v>72</v>
      </c>
    </row>
    <row r="8" spans="1:69" x14ac:dyDescent="0.3">
      <c r="A8" s="2">
        <v>3</v>
      </c>
      <c r="B8" s="4">
        <v>45044</v>
      </c>
      <c r="C8" s="4" t="s">
        <v>13</v>
      </c>
      <c r="D8" s="1" t="s">
        <v>94</v>
      </c>
      <c r="E8" s="1"/>
      <c r="F8" s="2"/>
      <c r="G8" s="9">
        <v>45</v>
      </c>
      <c r="H8" s="48" t="s">
        <v>27</v>
      </c>
      <c r="I8" s="11">
        <v>45</v>
      </c>
      <c r="J8" s="11"/>
      <c r="K8" s="12"/>
      <c r="L8" s="11">
        <v>45</v>
      </c>
      <c r="M8" s="2" t="s">
        <v>106</v>
      </c>
      <c r="N8" s="1" t="s">
        <v>100</v>
      </c>
      <c r="O8" s="2">
        <v>45</v>
      </c>
      <c r="P8" s="10" t="s">
        <v>112</v>
      </c>
      <c r="R8" s="4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41"/>
      <c r="AF8" s="130"/>
      <c r="AG8" s="41"/>
      <c r="AH8" s="41"/>
      <c r="AJ8" s="45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41"/>
      <c r="AY8" s="34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129"/>
      <c r="BM8" s="143"/>
      <c r="BO8" s="75"/>
      <c r="BP8" s="9"/>
      <c r="BQ8" s="8"/>
    </row>
    <row r="9" spans="1:69" x14ac:dyDescent="0.3">
      <c r="A9" s="2">
        <v>4</v>
      </c>
      <c r="B9" s="4">
        <v>45044</v>
      </c>
      <c r="C9" s="4" t="s">
        <v>13</v>
      </c>
      <c r="D9" s="1" t="s">
        <v>97</v>
      </c>
      <c r="E9" s="1"/>
      <c r="F9" s="9"/>
      <c r="G9" s="9">
        <v>492.62</v>
      </c>
      <c r="H9" s="48" t="s">
        <v>98</v>
      </c>
      <c r="I9" s="11">
        <v>469.16</v>
      </c>
      <c r="J9" s="11"/>
      <c r="K9" s="12">
        <v>23.46</v>
      </c>
      <c r="L9" s="11">
        <v>492.62</v>
      </c>
      <c r="M9" s="2" t="s">
        <v>107</v>
      </c>
      <c r="N9" s="1" t="s">
        <v>101</v>
      </c>
      <c r="O9" s="2">
        <v>492.62</v>
      </c>
      <c r="P9" s="10" t="s">
        <v>112</v>
      </c>
      <c r="R9" s="49" t="s">
        <v>29</v>
      </c>
      <c r="S9" s="9">
        <f>SUMIFS(L5:L72,C5:C72,"APRIL",H5:H72,"PAYROLL")</f>
        <v>0</v>
      </c>
      <c r="T9" s="9">
        <f>SUMIFS(L5:L72,C5:C72,"MAY",H5:H72,"PAYROLL")</f>
        <v>0</v>
      </c>
      <c r="U9" s="9">
        <f>SUMIFS(L5:L72,C5:C72,"JUNE",H5:H72,"PAYROLL")</f>
        <v>15</v>
      </c>
      <c r="V9" s="9">
        <f>SUMIFS(L5:L72,C5:C72,"JULY",H5:H72,"PAYROLL")</f>
        <v>25.2</v>
      </c>
      <c r="W9" s="9">
        <f>SUMIFS(L5:L72,C5:C72,"AUGUST",H5:H72,"PAYROLL")</f>
        <v>0</v>
      </c>
      <c r="X9" s="9">
        <f>SUMIFS(L5:L72,C5:C72,"SEPTEMBER",H5:H72,"PAYROLL")</f>
        <v>0</v>
      </c>
      <c r="Y9" s="9">
        <f>SUMIFS(L5:L72,C5:C72,"OCTOBER",H5:H72,"PAYROLL")</f>
        <v>25.2</v>
      </c>
      <c r="Z9" s="9">
        <f>SUMIFS(L5:L72,C5:C72,"NOVEMBER",H5:H72,"PAYROLL")</f>
        <v>0</v>
      </c>
      <c r="AA9" s="9">
        <f>SUMIFS(L5:L72,C5:C72,"DECEMBER",H5:H72,"PAYROLL")</f>
        <v>0</v>
      </c>
      <c r="AB9" s="9">
        <f>SUMIFS(L5:L72,C5:C72,"JANUARY",H5:H72,"PAYROLL")</f>
        <v>0</v>
      </c>
      <c r="AC9" s="9">
        <f>SUMIFS(L5:L72,C5:C72,"FEBRUARY",H5:H72,"PAYROLL")</f>
        <v>0</v>
      </c>
      <c r="AD9" s="9">
        <f>SUMIFS(L5:L72,C5:C72,"MARCH",H5:H72,"PAYROLL")</f>
        <v>0</v>
      </c>
      <c r="AE9" s="41">
        <f>SUM(S9:AD9)</f>
        <v>65.400000000000006</v>
      </c>
      <c r="AF9" s="130">
        <v>100.4</v>
      </c>
      <c r="AG9" s="41">
        <v>123.05000000000001</v>
      </c>
      <c r="AH9" s="41">
        <f t="shared" si="3"/>
        <v>57.650000000000006</v>
      </c>
      <c r="AJ9" s="45" t="s">
        <v>29</v>
      </c>
      <c r="AK9" s="9">
        <v>5</v>
      </c>
      <c r="AL9" s="9">
        <v>5</v>
      </c>
      <c r="AM9" s="9">
        <v>5</v>
      </c>
      <c r="AN9" s="9">
        <v>5</v>
      </c>
      <c r="AO9" s="9">
        <v>5</v>
      </c>
      <c r="AP9" s="9">
        <v>5</v>
      </c>
      <c r="AQ9" s="9">
        <v>5</v>
      </c>
      <c r="AR9" s="9">
        <v>5</v>
      </c>
      <c r="AS9" s="9">
        <v>5</v>
      </c>
      <c r="AT9" s="9">
        <v>5</v>
      </c>
      <c r="AU9" s="9">
        <v>5</v>
      </c>
      <c r="AV9" s="9">
        <v>5</v>
      </c>
      <c r="AW9" s="41">
        <f>SUM(AK9:AV9)</f>
        <v>60</v>
      </c>
      <c r="AY9" s="34" t="s">
        <v>29</v>
      </c>
      <c r="AZ9" s="9">
        <f>$BL9/12</f>
        <v>8.3333333333333339</v>
      </c>
      <c r="BA9" s="9">
        <f t="shared" ref="BA9:BK9" si="9">$BL9/12</f>
        <v>8.3333333333333339</v>
      </c>
      <c r="BB9" s="9">
        <f t="shared" si="9"/>
        <v>8.3333333333333339</v>
      </c>
      <c r="BC9" s="9">
        <f t="shared" si="9"/>
        <v>8.3333333333333339</v>
      </c>
      <c r="BD9" s="9">
        <f t="shared" si="9"/>
        <v>8.3333333333333339</v>
      </c>
      <c r="BE9" s="9">
        <f t="shared" si="9"/>
        <v>8.3333333333333339</v>
      </c>
      <c r="BF9" s="9">
        <f t="shared" si="9"/>
        <v>8.3333333333333339</v>
      </c>
      <c r="BG9" s="9">
        <f t="shared" si="9"/>
        <v>8.3333333333333339</v>
      </c>
      <c r="BH9" s="9">
        <f t="shared" si="9"/>
        <v>8.3333333333333339</v>
      </c>
      <c r="BI9" s="9">
        <f t="shared" si="9"/>
        <v>8.3333333333333339</v>
      </c>
      <c r="BJ9" s="9">
        <f t="shared" si="9"/>
        <v>8.3333333333333339</v>
      </c>
      <c r="BK9" s="9">
        <f t="shared" si="9"/>
        <v>8.3333333333333339</v>
      </c>
      <c r="BL9" s="129">
        <v>100</v>
      </c>
      <c r="BM9" s="143">
        <f t="shared" si="6"/>
        <v>-3.9840637450199766E-3</v>
      </c>
      <c r="BO9" s="75" t="s">
        <v>29</v>
      </c>
      <c r="BP9" s="9">
        <v>60</v>
      </c>
      <c r="BQ9" s="8" t="s">
        <v>60</v>
      </c>
    </row>
    <row r="10" spans="1:69" x14ac:dyDescent="0.3">
      <c r="A10" s="2">
        <v>5</v>
      </c>
      <c r="B10" s="4">
        <v>45044</v>
      </c>
      <c r="C10" s="4" t="s">
        <v>13</v>
      </c>
      <c r="D10" s="8" t="s">
        <v>102</v>
      </c>
      <c r="E10" s="1"/>
      <c r="F10" s="2"/>
      <c r="G10" s="9">
        <v>70.8</v>
      </c>
      <c r="H10" s="49" t="s">
        <v>37</v>
      </c>
      <c r="I10" s="11">
        <v>59</v>
      </c>
      <c r="J10" s="11"/>
      <c r="K10" s="12">
        <v>11.8</v>
      </c>
      <c r="L10" s="11">
        <v>70.8</v>
      </c>
      <c r="M10" s="2" t="s">
        <v>108</v>
      </c>
      <c r="N10" s="1" t="s">
        <v>103</v>
      </c>
      <c r="O10" s="3">
        <v>70.8</v>
      </c>
      <c r="P10" s="10" t="s">
        <v>112</v>
      </c>
      <c r="R10" s="4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41"/>
      <c r="AF10" s="130"/>
      <c r="AG10" s="41"/>
      <c r="AH10" s="41"/>
      <c r="AJ10" s="45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41"/>
      <c r="AY10" s="34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129"/>
      <c r="BM10" s="142"/>
      <c r="BO10" s="75"/>
      <c r="BP10" s="9"/>
      <c r="BQ10" s="8"/>
    </row>
    <row r="11" spans="1:69" x14ac:dyDescent="0.3">
      <c r="A11" s="2" t="s">
        <v>109</v>
      </c>
      <c r="B11" s="4">
        <v>45037</v>
      </c>
      <c r="C11" s="4" t="s">
        <v>13</v>
      </c>
      <c r="D11" s="8" t="s">
        <v>110</v>
      </c>
      <c r="E11" s="1"/>
      <c r="F11" s="9">
        <v>1747.1</v>
      </c>
      <c r="G11" s="9"/>
      <c r="H11" s="49"/>
      <c r="I11" s="11"/>
      <c r="J11" s="11"/>
      <c r="K11" s="12"/>
      <c r="L11" s="11"/>
      <c r="M11" s="2"/>
      <c r="N11" s="1"/>
      <c r="O11" s="3"/>
      <c r="P11" s="10"/>
      <c r="R11" s="49" t="s">
        <v>30</v>
      </c>
      <c r="S11" s="9">
        <f>SUMIFS(L5:L72,C5:C72,"APRIL",H5:H72,"AUDIT")</f>
        <v>0</v>
      </c>
      <c r="T11" s="9">
        <f>SUMIFS(L5:L72,C5:C72,"MAY",H5:H72,"AUDIT")</f>
        <v>0</v>
      </c>
      <c r="U11" s="9">
        <f>SUMIFS(L5:L72,C5:C72,"JUNE",H5:H72,"AUDIT")</f>
        <v>0</v>
      </c>
      <c r="V11" s="9">
        <f>SUMIFS(L5:L72,C5:C72,"JULY",H5:H72,"AUDIT")</f>
        <v>0</v>
      </c>
      <c r="W11" s="9">
        <f>SUMIFS(L5:L72,C5:C72,"AUGUST",H5:H72,"AUDIT")</f>
        <v>0</v>
      </c>
      <c r="X11" s="9">
        <f>SUMIFS(L5:L72,C5:C72,"SEPTEMBER",H5:H72,"AUDIT")</f>
        <v>0</v>
      </c>
      <c r="Y11" s="9">
        <f>SUMIFS(L5:L72,C5:C72,"OCTOBER",H5:H72,"AUDIT")</f>
        <v>81.599999999999994</v>
      </c>
      <c r="Z11" s="9">
        <f>SUMIFS(L5:L72,C5:C72,"NOVEMBER",H5:H72,"AUDIT")</f>
        <v>0</v>
      </c>
      <c r="AA11" s="9">
        <f>SUMIFS(L5:L72,C5:C72,"DECEMBER",H5:H72,"AUDIT")</f>
        <v>0</v>
      </c>
      <c r="AB11" s="9">
        <f>SUMIFS(L5:L72,C5:C72,"JANUARY",H5:H72,"AUDIT")</f>
        <v>0</v>
      </c>
      <c r="AC11" s="9">
        <f>SUMIFS(L5:L72,C5:C72,"FEBRUARY",H5:H72,"AUDIT")</f>
        <v>0</v>
      </c>
      <c r="AD11" s="9">
        <f>SUMIFS(L5:L72,C5:C72,"MARCH",H5:H72,"AUDIT")</f>
        <v>0</v>
      </c>
      <c r="AE11" s="41">
        <f t="shared" si="2"/>
        <v>81.599999999999994</v>
      </c>
      <c r="AF11" s="130">
        <v>163.19999999999999</v>
      </c>
      <c r="AG11" s="41">
        <v>80</v>
      </c>
      <c r="AH11" s="41">
        <f t="shared" si="3"/>
        <v>-1.5999999999999943</v>
      </c>
      <c r="AJ11" s="45" t="s">
        <v>30</v>
      </c>
      <c r="AK11" s="9">
        <f>SUMIFS(AC5:AC43,T5:T43,"APRIL",Y5:Y43,"AUDIT")</f>
        <v>0</v>
      </c>
      <c r="AL11" s="9">
        <f>SUMIFS(AC5:AC43,T5:T43,"MAY",Y5:Y43,"AUDIT")</f>
        <v>0</v>
      </c>
      <c r="AM11" s="9">
        <f>SUMIFS(AC5:AC43,T5:T43,"JUNE",Y5:Y43,"AUDIT")</f>
        <v>0</v>
      </c>
      <c r="AN11" s="9">
        <f>SUMIFS(AC5:AC43,T5:T43,"JULY",Y5:Y43,"AUDIT")</f>
        <v>0</v>
      </c>
      <c r="AO11" s="9">
        <f>SUMIFS(AC5:AC43,T5:T43,"AUGUST",Y5:Y43,"AUDIT")</f>
        <v>0</v>
      </c>
      <c r="AP11" s="9">
        <v>100</v>
      </c>
      <c r="AQ11" s="9">
        <f>SUMIFS(AC5:AC43,T5:T43,"OCTOBER",Y5:Y43,"AUDIT")</f>
        <v>0</v>
      </c>
      <c r="AR11" s="9">
        <f>SUMIFS(AC5:AC43,T5:T43,"NOVEMBER",Y5:Y43,"AUDIT")</f>
        <v>0</v>
      </c>
      <c r="AS11" s="9">
        <f>SUMIFS(AC5:AC43,T5:T43,"DECEMBER",Y5:Y43,"AUDIT")</f>
        <v>0</v>
      </c>
      <c r="AT11" s="9">
        <f>SUMIFS(AC5:AC43,T5:T43,"JANUARY",Y5:Y43,"AUDIT")</f>
        <v>0</v>
      </c>
      <c r="AU11" s="9">
        <f>SUMIFS(AC5:AC43,T5:T43,"FEBRUARY",Y5:Y43,"AUDIT")</f>
        <v>0</v>
      </c>
      <c r="AV11" s="9">
        <f>SUMIFS(AC5:AC43,T5:T43,"MARCH",Y5:Y43,"AUDIT")</f>
        <v>0</v>
      </c>
      <c r="AW11" s="41">
        <f t="shared" ref="AW11:AW12" si="10">SUM(AK11:AV11)</f>
        <v>100</v>
      </c>
      <c r="AY11" s="34" t="s">
        <v>30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f>BL11/2</f>
        <v>90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f>BL11/2</f>
        <v>90</v>
      </c>
      <c r="BL11" s="129">
        <v>180</v>
      </c>
      <c r="BM11" s="143">
        <f t="shared" ref="BM11:BM12" si="11">(BL11-AF11)/AF11</f>
        <v>0.10294117647058831</v>
      </c>
      <c r="BN11" t="s">
        <v>264</v>
      </c>
      <c r="BO11" s="75" t="s">
        <v>30</v>
      </c>
      <c r="BP11" s="9">
        <v>50</v>
      </c>
      <c r="BQ11" s="8" t="s">
        <v>61</v>
      </c>
    </row>
    <row r="12" spans="1:69" x14ac:dyDescent="0.3">
      <c r="A12" s="2">
        <v>6</v>
      </c>
      <c r="B12" s="4">
        <v>45084</v>
      </c>
      <c r="C12" s="4" t="s">
        <v>15</v>
      </c>
      <c r="D12" s="8" t="s">
        <v>114</v>
      </c>
      <c r="E12" s="1"/>
      <c r="F12" s="2"/>
      <c r="G12" s="9">
        <v>15</v>
      </c>
      <c r="H12" s="49" t="s">
        <v>95</v>
      </c>
      <c r="I12" s="11">
        <v>15</v>
      </c>
      <c r="J12" s="11"/>
      <c r="K12" s="12"/>
      <c r="L12" s="11">
        <v>15</v>
      </c>
      <c r="M12" s="2" t="s">
        <v>115</v>
      </c>
      <c r="N12" s="1" t="s">
        <v>116</v>
      </c>
      <c r="O12" s="2">
        <v>15</v>
      </c>
      <c r="P12" s="10" t="s">
        <v>144</v>
      </c>
      <c r="R12" s="49" t="s">
        <v>31</v>
      </c>
      <c r="S12" s="9">
        <f>SUMIFS(L5:L72,C5:C72,"APRIL",H5:H72,"INSURANCE")</f>
        <v>0</v>
      </c>
      <c r="T12" s="9">
        <f>SUMIFS(L5:L72,C5:C72,"MAY",H5:H72,"INSURANCE")</f>
        <v>0</v>
      </c>
      <c r="U12" s="9">
        <f>SUMIFS(L5:L72,C5:C72,"JUNE",H5:H72,"INSURANCE")</f>
        <v>925.02</v>
      </c>
      <c r="V12" s="9">
        <f>SUMIFS(L5:L72,C5:C72,"JULY",H5:H72,"INSURANCE")</f>
        <v>0</v>
      </c>
      <c r="W12" s="9">
        <f>SUMIFS(L5:L72,C5:C72,"AUGUST",H5:H72,"INSURANCE")</f>
        <v>0</v>
      </c>
      <c r="X12" s="9">
        <f>SUMIFS(L5:L72,C5:C72,"SEPTEMBER",H5:H72,"INSURANCE")</f>
        <v>0</v>
      </c>
      <c r="Y12" s="9">
        <f>SUMIFS(L5:L72,C5:C72,"OCTOBER",H5:H72,"INSURANCE")</f>
        <v>0</v>
      </c>
      <c r="Z12" s="9">
        <f>SUMIFS(L5:L72,C5:C72,"NOVEMBER",H5:H72,"INSURANCE")</f>
        <v>0</v>
      </c>
      <c r="AA12" s="9">
        <f>SUMIFS(L5:L72,C5:C72,"DECEMBER",H5:H72,"INSURANCE")</f>
        <v>0</v>
      </c>
      <c r="AB12" s="9">
        <f>SUMIFS(L5:L72,C5:C72,"JANUARY",H5:H72,"INSURANCE")</f>
        <v>0</v>
      </c>
      <c r="AC12" s="9">
        <f>SUMIFS(L5:L72,C5:C72,"FEBRUARY",H5:H72,"INSURANCE")</f>
        <v>0</v>
      </c>
      <c r="AD12" s="9">
        <f>SUMIFS(L5:L72,C5:C72,"MARCH",H5:H72,"INSURANCE")</f>
        <v>0</v>
      </c>
      <c r="AE12" s="41">
        <f t="shared" si="2"/>
        <v>925.02</v>
      </c>
      <c r="AF12" s="130">
        <f>AE12</f>
        <v>925.02</v>
      </c>
      <c r="AG12" s="41">
        <v>930.98500000000013</v>
      </c>
      <c r="AH12" s="41">
        <f t="shared" si="3"/>
        <v>5.9650000000001455</v>
      </c>
      <c r="AJ12" s="45" t="s">
        <v>31</v>
      </c>
      <c r="AK12" s="9">
        <f>SUMIFS(AC5:AC43,T5:T43,"APRIL",Y5:Y43,"INSURANCE")</f>
        <v>0</v>
      </c>
      <c r="AL12" s="9">
        <f>SUMIFS(AC5:AC43,T5:T43,"MAY",Y5:Y43,"INSURANCE")</f>
        <v>0</v>
      </c>
      <c r="AM12" s="9">
        <v>677.04</v>
      </c>
      <c r="AN12" s="9">
        <f>SUMIFS(AC5:AC43,T5:T43,"JULY",Y5:Y43,"INSURANCE")</f>
        <v>0</v>
      </c>
      <c r="AO12" s="9">
        <f>SUMIFS(AC5:AC43,T5:T43,"AUGUST",Y5:Y43,"INSURANCE")</f>
        <v>0</v>
      </c>
      <c r="AP12" s="9">
        <f>SUMIFS(AC5:AC43,T5:T43,"SEPTEMBER",Y5:Y43,"INSURANCE")</f>
        <v>0</v>
      </c>
      <c r="AQ12" s="9">
        <f>SUMIFS(AC5:AC43,T5:T43,"OCTOBER",Y5:Y43,"INSURANCE")</f>
        <v>0</v>
      </c>
      <c r="AR12" s="9">
        <f>SUMIFS(AC5:AC43,T5:T43,"NOVEMBER",Y5:Y43,"INSURANCE")</f>
        <v>0</v>
      </c>
      <c r="AS12" s="9">
        <f>SUMIFS(AC5:AC43,T5:T43,"DECEMBER",Y5:Y43,"INSURANCE")</f>
        <v>0</v>
      </c>
      <c r="AT12" s="9">
        <f>SUMIFS(AC5:AC43,T5:T43,"JANUARY",Y5:Y43,"INSURANCE")</f>
        <v>0</v>
      </c>
      <c r="AU12" s="9">
        <f>SUMIFS(AC5:AC43,T5:T43,"FEBRUARY",Y5:Y43,"INSURANCE")</f>
        <v>0</v>
      </c>
      <c r="AV12" s="9">
        <f>SUMIFS(AC5:AC43,T5:T43,"MARCH",Y5:Y43,"INSURANCE")</f>
        <v>0</v>
      </c>
      <c r="AW12" s="41">
        <f t="shared" si="10"/>
        <v>677.04</v>
      </c>
      <c r="AY12" s="34" t="s">
        <v>31</v>
      </c>
      <c r="AZ12" s="9">
        <v>0</v>
      </c>
      <c r="BA12" s="9">
        <v>0</v>
      </c>
      <c r="BB12" s="9">
        <v>0</v>
      </c>
      <c r="BC12" s="9">
        <f>BL12</f>
        <v>1000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129">
        <v>1000</v>
      </c>
      <c r="BM12" s="143">
        <f t="shared" si="11"/>
        <v>8.1057706860392223E-2</v>
      </c>
      <c r="BO12" s="75" t="s">
        <v>31</v>
      </c>
      <c r="BP12" s="9">
        <v>725</v>
      </c>
      <c r="BQ12" s="8" t="s">
        <v>62</v>
      </c>
    </row>
    <row r="13" spans="1:69" x14ac:dyDescent="0.3">
      <c r="A13" s="2">
        <v>7</v>
      </c>
      <c r="B13" s="4">
        <v>45084</v>
      </c>
      <c r="C13" s="4" t="s">
        <v>15</v>
      </c>
      <c r="D13" s="1" t="s">
        <v>117</v>
      </c>
      <c r="E13" s="1"/>
      <c r="F13" s="2"/>
      <c r="G13" s="9">
        <v>40</v>
      </c>
      <c r="H13" s="49" t="s">
        <v>37</v>
      </c>
      <c r="I13" s="11">
        <v>40</v>
      </c>
      <c r="J13" s="11"/>
      <c r="K13" s="12"/>
      <c r="L13" s="11">
        <v>40</v>
      </c>
      <c r="M13" s="2" t="s">
        <v>118</v>
      </c>
      <c r="N13" s="1" t="s">
        <v>119</v>
      </c>
      <c r="O13" s="2">
        <v>40</v>
      </c>
      <c r="P13" s="10" t="s">
        <v>144</v>
      </c>
      <c r="R13" s="4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41"/>
      <c r="AF13" s="130"/>
      <c r="AG13" s="41"/>
      <c r="AH13" s="41"/>
      <c r="AJ13" s="45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41"/>
      <c r="AY13" s="34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129"/>
      <c r="BM13" s="142"/>
      <c r="BO13" s="75"/>
      <c r="BP13" s="9"/>
      <c r="BQ13" s="8"/>
    </row>
    <row r="14" spans="1:69" x14ac:dyDescent="0.3">
      <c r="A14" s="2">
        <v>8</v>
      </c>
      <c r="B14" s="4">
        <v>45084</v>
      </c>
      <c r="C14" s="4" t="s">
        <v>15</v>
      </c>
      <c r="D14" s="8" t="s">
        <v>120</v>
      </c>
      <c r="E14" s="1"/>
      <c r="F14" s="8"/>
      <c r="G14" s="9">
        <v>200</v>
      </c>
      <c r="H14" s="49" t="s">
        <v>32</v>
      </c>
      <c r="I14" s="11">
        <v>200</v>
      </c>
      <c r="J14" s="11"/>
      <c r="K14" s="12"/>
      <c r="L14" s="11">
        <v>200</v>
      </c>
      <c r="M14" s="2" t="s">
        <v>121</v>
      </c>
      <c r="N14" s="1" t="s">
        <v>122</v>
      </c>
      <c r="O14" s="2">
        <v>200</v>
      </c>
      <c r="P14" s="10" t="s">
        <v>144</v>
      </c>
      <c r="R14" s="49" t="s">
        <v>51</v>
      </c>
      <c r="S14" s="9">
        <f>SUMIFS(L5:L72,C5:C72,"APRIL",H5:H72,"E-ON SUPPLY")</f>
        <v>500.5</v>
      </c>
      <c r="T14" s="9">
        <f>SUMIFS(L5:L72,C5:C72,"MAY",H5:H72,"E-ON SUPPLY")</f>
        <v>0</v>
      </c>
      <c r="U14" s="9">
        <f>SUMIFS(L5:L72,C5:C72,"JUNE",H5:H72,"E-ON SUPPLY")</f>
        <v>0</v>
      </c>
      <c r="V14" s="9">
        <f>SUMIFS(L5:L72,C5:C72,"JULY",H5:H72,"E-ON SUPPLY")</f>
        <v>632.6</v>
      </c>
      <c r="W14" s="9">
        <f>SUMIFS(L5:L72,C5:C72,"AUGUST",H5:H72,"E-ON SUPPLY")</f>
        <v>0</v>
      </c>
      <c r="X14" s="9">
        <f>SUMIFS(L5:L72,C5:C72,"SEPTEMBER",H5:H72,"E-ON SUPPLY")</f>
        <v>0</v>
      </c>
      <c r="Y14" s="9">
        <f>SUMIFS(L5:L72,C5:C72,"OCTOBER",H5:H72,"E-ON SUPPLY")</f>
        <v>672.74</v>
      </c>
      <c r="Z14" s="9">
        <f>SUMIFS(L5:L72,C5:C72,"NOVEMBER",H5:H72,"E-ON SUPPLY")</f>
        <v>0</v>
      </c>
      <c r="AA14" s="9">
        <f>SUMIFS(L5:L72,C5:C72,"DECEMBER",H5:H72,"E-ON SUPPLY -STREETLIGHTS")</f>
        <v>0</v>
      </c>
      <c r="AB14" s="9">
        <f>SUMIFS(L7:L74,C7:C74,"JANUARY",H7:H74,"E-ON SUPPLY")</f>
        <v>1111.03</v>
      </c>
      <c r="AC14" s="9">
        <f>SUMIFS(L5:L72,C5:C72,"FEBRUARY",H5:H72,"E-ON SUPPLY")</f>
        <v>0</v>
      </c>
      <c r="AD14" s="9">
        <f>SUMIFS(L5:L72,C5:C72,"MARCH",H5:H72,"E-ON SUPPLY")</f>
        <v>0</v>
      </c>
      <c r="AE14" s="41">
        <f t="shared" si="2"/>
        <v>2916.87</v>
      </c>
      <c r="AF14" s="130">
        <f>AE14</f>
        <v>2916.87</v>
      </c>
      <c r="AG14" s="41">
        <v>5000</v>
      </c>
      <c r="AH14" s="41">
        <f t="shared" si="3"/>
        <v>2083.13</v>
      </c>
      <c r="AJ14" s="45" t="s">
        <v>51</v>
      </c>
      <c r="AK14" s="9">
        <f>SUM(2582.03/12)</f>
        <v>215.16916666666668</v>
      </c>
      <c r="AL14" s="9">
        <f t="shared" ref="AL14:AV14" si="12">SUM(2582.03/12)</f>
        <v>215.16916666666668</v>
      </c>
      <c r="AM14" s="9">
        <f t="shared" si="12"/>
        <v>215.16916666666668</v>
      </c>
      <c r="AN14" s="9">
        <f t="shared" si="12"/>
        <v>215.16916666666668</v>
      </c>
      <c r="AO14" s="9">
        <f t="shared" si="12"/>
        <v>215.16916666666668</v>
      </c>
      <c r="AP14" s="9">
        <f t="shared" si="12"/>
        <v>215.16916666666668</v>
      </c>
      <c r="AQ14" s="9">
        <f t="shared" si="12"/>
        <v>215.16916666666668</v>
      </c>
      <c r="AR14" s="9">
        <f t="shared" si="12"/>
        <v>215.16916666666668</v>
      </c>
      <c r="AS14" s="9">
        <f t="shared" si="12"/>
        <v>215.16916666666668</v>
      </c>
      <c r="AT14" s="9">
        <f t="shared" si="12"/>
        <v>215.16916666666668</v>
      </c>
      <c r="AU14" s="9">
        <f t="shared" si="12"/>
        <v>215.16916666666668</v>
      </c>
      <c r="AV14" s="9">
        <f t="shared" si="12"/>
        <v>215.16916666666668</v>
      </c>
      <c r="AW14" s="41">
        <f t="shared" ref="AW14" si="13">SUM(AK14:AV14)</f>
        <v>2582.0299999999993</v>
      </c>
      <c r="AY14" s="34" t="s">
        <v>51</v>
      </c>
      <c r="AZ14" s="9">
        <f>BL14/4</f>
        <v>1011.9030029999999</v>
      </c>
      <c r="BA14" s="9">
        <v>0</v>
      </c>
      <c r="BB14" s="9">
        <v>0</v>
      </c>
      <c r="BC14" s="9">
        <f>BL14/4</f>
        <v>1011.9030029999999</v>
      </c>
      <c r="BD14" s="9">
        <v>0</v>
      </c>
      <c r="BE14" s="9">
        <v>0</v>
      </c>
      <c r="BF14" s="9">
        <f>BL14/4</f>
        <v>1011.9030029999999</v>
      </c>
      <c r="BG14" s="9">
        <v>0</v>
      </c>
      <c r="BH14" s="9">
        <v>0</v>
      </c>
      <c r="BI14" s="9">
        <f>BL14/4</f>
        <v>1011.9030029999999</v>
      </c>
      <c r="BJ14" s="9">
        <v>0</v>
      </c>
      <c r="BK14" s="9">
        <v>0</v>
      </c>
      <c r="BL14" s="129">
        <f>8064.9*0.50188</f>
        <v>4047.6120119999996</v>
      </c>
      <c r="BM14" s="143">
        <f t="shared" ref="BM14" si="14">(BL14-AF14)/AF14</f>
        <v>0.38765595038517309</v>
      </c>
      <c r="BN14" t="s">
        <v>280</v>
      </c>
      <c r="BO14" s="75" t="s">
        <v>51</v>
      </c>
      <c r="BP14" s="9">
        <v>2700</v>
      </c>
      <c r="BQ14" s="8" t="s">
        <v>73</v>
      </c>
    </row>
    <row r="15" spans="1:69" x14ac:dyDescent="0.3">
      <c r="A15" s="2">
        <v>9</v>
      </c>
      <c r="B15" s="4">
        <v>45084</v>
      </c>
      <c r="C15" s="4" t="s">
        <v>15</v>
      </c>
      <c r="D15" s="1" t="s">
        <v>120</v>
      </c>
      <c r="E15" s="1"/>
      <c r="F15" s="2"/>
      <c r="G15" s="9">
        <v>2.99</v>
      </c>
      <c r="H15" s="49" t="s">
        <v>32</v>
      </c>
      <c r="I15" s="11">
        <v>2.99</v>
      </c>
      <c r="J15" s="11"/>
      <c r="K15" s="12"/>
      <c r="L15" s="11">
        <v>2.99</v>
      </c>
      <c r="M15" s="2" t="s">
        <v>123</v>
      </c>
      <c r="N15" s="1" t="s">
        <v>124</v>
      </c>
      <c r="O15" s="2">
        <v>2.99</v>
      </c>
      <c r="P15" s="10" t="s">
        <v>144</v>
      </c>
      <c r="R15" s="49" t="s">
        <v>52</v>
      </c>
      <c r="S15" s="9">
        <f>SUMIFS(L5:L72,C5:C72,"APRIL",H5:H72,"E-ON MAINTENANCE")</f>
        <v>0</v>
      </c>
      <c r="T15" s="9">
        <f>SUMIFS(L5:L72,C5:C72,"MAY",H5:H72,"E-ON MAINTENANCE")</f>
        <v>0</v>
      </c>
      <c r="U15" s="9">
        <f>SUMIFS(L5:L72,C5:C72,"JUNE",H5:H72,"E-ON MAINTENANCE")</f>
        <v>203.4</v>
      </c>
      <c r="V15" s="9">
        <f>SUMIFS(L5:L72,C5:C72,"JULY",H5:H72,"E-ON MAINTENANCE")</f>
        <v>0</v>
      </c>
      <c r="W15" s="9">
        <f>SUMIFS(L5:L72,C5:C72,"AUGUST",H5:H72,"E-ON MAINTENANCE")</f>
        <v>0</v>
      </c>
      <c r="X15" s="9">
        <f>SUMIFS(L5:L72,C5:C72,"SEPTEMBER",H5:H72,"E-ON MAINTENANCE")</f>
        <v>203.4</v>
      </c>
      <c r="Y15" s="9">
        <f>SUMIFS(L5:L72,C5:C72,"OCTOBER",H5:H72,"E-ON MAINTENANCE")</f>
        <v>2520</v>
      </c>
      <c r="Z15" s="9">
        <f>SUMIFS(L5:L72,C5:C72,"NOVEMBER",H5:H72,"E-ON MAINTENANCE")</f>
        <v>0</v>
      </c>
      <c r="AA15" s="9">
        <f>SUMIFS(L5:L72,C5:C72,"DECEMBER",H5:H72,"E-ON MAINTENANCE")</f>
        <v>190.8</v>
      </c>
      <c r="AB15" s="9">
        <f>SUMIFS(L5:L72,C5:C72,"JANUARY",H5:H72,"E-ON MAINTENANCE")</f>
        <v>0</v>
      </c>
      <c r="AC15" s="9">
        <f>SUMIFS(L5:L72,C5:C72,"FEBRUARY",H5:H72,"E-ON MAINTENANCE")</f>
        <v>0</v>
      </c>
      <c r="AD15" s="9">
        <f>SUMIFS(L5:L72,C5:C72,"MARCH",H5:H72,"E-ON MAINTENANCE")</f>
        <v>0</v>
      </c>
      <c r="AE15" s="41">
        <f>SUM(S15:AD15)</f>
        <v>3117.6000000000004</v>
      </c>
      <c r="AF15" s="130">
        <v>3333.6</v>
      </c>
      <c r="AG15" s="41">
        <v>920.4140000000001</v>
      </c>
      <c r="AH15" s="41">
        <f t="shared" si="3"/>
        <v>-2197.1860000000001</v>
      </c>
      <c r="AJ15" s="45" t="s">
        <v>52</v>
      </c>
      <c r="AK15" s="9">
        <f>SUM(603.5/12)</f>
        <v>50.291666666666664</v>
      </c>
      <c r="AL15" s="9">
        <f t="shared" ref="AL15:AV15" si="15">SUM(603.5/12)</f>
        <v>50.291666666666664</v>
      </c>
      <c r="AM15" s="9">
        <f t="shared" si="15"/>
        <v>50.291666666666664</v>
      </c>
      <c r="AN15" s="9">
        <f t="shared" si="15"/>
        <v>50.291666666666664</v>
      </c>
      <c r="AO15" s="9">
        <f t="shared" si="15"/>
        <v>50.291666666666664</v>
      </c>
      <c r="AP15" s="9">
        <f t="shared" si="15"/>
        <v>50.291666666666664</v>
      </c>
      <c r="AQ15" s="9">
        <f t="shared" si="15"/>
        <v>50.291666666666664</v>
      </c>
      <c r="AR15" s="9">
        <f t="shared" si="15"/>
        <v>50.291666666666664</v>
      </c>
      <c r="AS15" s="9">
        <f t="shared" si="15"/>
        <v>50.291666666666664</v>
      </c>
      <c r="AT15" s="9">
        <f t="shared" si="15"/>
        <v>50.291666666666664</v>
      </c>
      <c r="AU15" s="9">
        <f t="shared" si="15"/>
        <v>50.291666666666664</v>
      </c>
      <c r="AV15" s="9">
        <f t="shared" si="15"/>
        <v>50.291666666666664</v>
      </c>
      <c r="AW15" s="41">
        <f>SUM(AK15:AV15)</f>
        <v>603.5</v>
      </c>
      <c r="AY15" s="34" t="s">
        <v>52</v>
      </c>
      <c r="AZ15" s="9">
        <f>BL15/4</f>
        <v>203.4</v>
      </c>
      <c r="BA15" s="9">
        <v>0</v>
      </c>
      <c r="BB15" s="9">
        <v>0</v>
      </c>
      <c r="BC15" s="9">
        <f>BL15/4</f>
        <v>203.4</v>
      </c>
      <c r="BD15" s="9">
        <v>0</v>
      </c>
      <c r="BE15" s="9">
        <v>0</v>
      </c>
      <c r="BF15" s="9">
        <f>BL15/4</f>
        <v>203.4</v>
      </c>
      <c r="BG15" s="9">
        <v>0</v>
      </c>
      <c r="BH15" s="9">
        <v>0</v>
      </c>
      <c r="BI15" s="9">
        <f>BL15/4</f>
        <v>203.4</v>
      </c>
      <c r="BJ15" s="9">
        <v>0</v>
      </c>
      <c r="BK15" s="9">
        <v>0</v>
      </c>
      <c r="BL15" s="129">
        <f>4*203.4</f>
        <v>813.6</v>
      </c>
      <c r="BM15" s="143"/>
      <c r="BN15" t="s">
        <v>279</v>
      </c>
      <c r="BO15" s="75" t="s">
        <v>52</v>
      </c>
      <c r="BP15" s="9">
        <v>780</v>
      </c>
      <c r="BQ15" s="8" t="s">
        <v>63</v>
      </c>
    </row>
    <row r="16" spans="1:69" x14ac:dyDescent="0.3">
      <c r="A16" s="2">
        <v>10</v>
      </c>
      <c r="B16" s="4">
        <v>45084</v>
      </c>
      <c r="C16" s="4" t="s">
        <v>15</v>
      </c>
      <c r="D16" s="1" t="s">
        <v>145</v>
      </c>
      <c r="E16" s="1"/>
      <c r="F16" s="2"/>
      <c r="G16" s="9">
        <v>37.130000000000003</v>
      </c>
      <c r="H16" s="48" t="s">
        <v>28</v>
      </c>
      <c r="I16" s="11">
        <v>30.94</v>
      </c>
      <c r="J16" s="11"/>
      <c r="K16" s="12">
        <v>6.19</v>
      </c>
      <c r="L16" s="11">
        <v>37.130000000000003</v>
      </c>
      <c r="M16" s="2" t="s">
        <v>125</v>
      </c>
      <c r="N16" s="1" t="s">
        <v>126</v>
      </c>
      <c r="O16" s="2">
        <v>37.130000000000003</v>
      </c>
      <c r="P16" s="10" t="s">
        <v>144</v>
      </c>
      <c r="R16" s="50" t="s">
        <v>42</v>
      </c>
      <c r="S16" s="9">
        <f>SUMIFS(L5:L72,C5:C72,"APRIL",H5:H72,"HMRC")</f>
        <v>0</v>
      </c>
      <c r="T16" s="9">
        <f>SUMIFS(L5:L72,C5:C72,"MAY",H5:H72,"HMRC")</f>
        <v>0</v>
      </c>
      <c r="U16" s="9">
        <f>SUMIFS(L5:L72,C5:C72,"JUNE",H5:H72,"HMRC")</f>
        <v>0</v>
      </c>
      <c r="V16" s="9">
        <f>SUMIFS(L5:L72,C5:C72,"JULY",H5:H72,"HMRC")</f>
        <v>0</v>
      </c>
      <c r="W16" s="9">
        <f>SUMIFS(L5:L72,C5:C72,"AUGUST",H5:H72,"HMRC")</f>
        <v>0</v>
      </c>
      <c r="X16" s="9">
        <f>SUMIFS(L5:L72,C5:C72,"SEPTEMBER",H5:H72,"HMRC")</f>
        <v>0</v>
      </c>
      <c r="Y16" s="9">
        <f>SUMIFS(L5:L72,C5:C72,"OCTOBER",H5:H72,"HMRC")</f>
        <v>0</v>
      </c>
      <c r="Z16" s="9">
        <f>SUMIFS(L5:L72,C5:C72,"NOVEMBER",H5:H72,"HMRC")</f>
        <v>0</v>
      </c>
      <c r="AA16" s="9">
        <f>SUMIFS(L5:L72,C5:C72,"DECEMBER",H5:H72,"HMRC")</f>
        <v>0</v>
      </c>
      <c r="AB16" s="9">
        <f>SUMIFS(L5:L72,C5:C72,"JANUARY",H5:H72,"HMRC")</f>
        <v>0</v>
      </c>
      <c r="AC16" s="9">
        <f>SUMIFS(L5:L72,C5:C72,"FEBRUARY",H5:H72,"HMRC")</f>
        <v>0</v>
      </c>
      <c r="AD16" s="9">
        <f>SUMIFS(L5:L72,C5:C72,"MARCH",H5:H72,"HMRC")</f>
        <v>0</v>
      </c>
      <c r="AE16" s="41">
        <f t="shared" si="2"/>
        <v>0</v>
      </c>
      <c r="AF16" s="130"/>
      <c r="AG16" s="41">
        <v>0</v>
      </c>
      <c r="AH16" s="41">
        <f t="shared" si="3"/>
        <v>0</v>
      </c>
      <c r="AJ16" s="46" t="s">
        <v>42</v>
      </c>
      <c r="AK16" s="9">
        <f>SUM(700/12)</f>
        <v>58.333333333333336</v>
      </c>
      <c r="AL16" s="9">
        <f t="shared" ref="AL16:AV16" si="16">SUM(700/12)</f>
        <v>58.333333333333336</v>
      </c>
      <c r="AM16" s="9">
        <f t="shared" si="16"/>
        <v>58.333333333333336</v>
      </c>
      <c r="AN16" s="9">
        <f t="shared" si="16"/>
        <v>58.333333333333336</v>
      </c>
      <c r="AO16" s="9">
        <f t="shared" si="16"/>
        <v>58.333333333333336</v>
      </c>
      <c r="AP16" s="9">
        <f t="shared" si="16"/>
        <v>58.333333333333336</v>
      </c>
      <c r="AQ16" s="9">
        <f t="shared" si="16"/>
        <v>58.333333333333336</v>
      </c>
      <c r="AR16" s="9">
        <f t="shared" si="16"/>
        <v>58.333333333333336</v>
      </c>
      <c r="AS16" s="9">
        <f t="shared" si="16"/>
        <v>58.333333333333336</v>
      </c>
      <c r="AT16" s="9">
        <f t="shared" si="16"/>
        <v>58.333333333333336</v>
      </c>
      <c r="AU16" s="9">
        <f t="shared" si="16"/>
        <v>58.333333333333336</v>
      </c>
      <c r="AV16" s="9">
        <f t="shared" si="16"/>
        <v>58.333333333333336</v>
      </c>
      <c r="AW16" s="41">
        <f t="shared" ref="AW16" si="17">SUM(AK16:AV16)</f>
        <v>700.00000000000011</v>
      </c>
      <c r="AY16" s="38" t="s">
        <v>42</v>
      </c>
      <c r="AZ16" s="9">
        <v>0</v>
      </c>
      <c r="BA16" s="9">
        <v>0</v>
      </c>
      <c r="BB16" s="9">
        <v>0</v>
      </c>
      <c r="BC16" s="9">
        <v>0</v>
      </c>
      <c r="BD16" s="9">
        <f>BL16</f>
        <v>2520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129">
        <v>2520</v>
      </c>
      <c r="BM16" s="143"/>
      <c r="BN16" t="s">
        <v>294</v>
      </c>
      <c r="BO16" s="76" t="s">
        <v>42</v>
      </c>
      <c r="BP16" s="9">
        <v>700.00000000000011</v>
      </c>
      <c r="BQ16" s="8" t="s">
        <v>74</v>
      </c>
    </row>
    <row r="17" spans="1:69" x14ac:dyDescent="0.3">
      <c r="A17" s="2">
        <v>11</v>
      </c>
      <c r="B17" s="37">
        <v>45084</v>
      </c>
      <c r="C17" s="4" t="s">
        <v>15</v>
      </c>
      <c r="D17" s="1" t="s">
        <v>94</v>
      </c>
      <c r="E17" s="17"/>
      <c r="F17" s="1"/>
      <c r="G17" s="9">
        <v>340.16</v>
      </c>
      <c r="H17" s="48" t="s">
        <v>158</v>
      </c>
      <c r="I17" s="11">
        <v>340.16</v>
      </c>
      <c r="J17" s="11"/>
      <c r="K17" s="12"/>
      <c r="L17" s="11">
        <v>340.16</v>
      </c>
      <c r="M17" s="2" t="s">
        <v>128</v>
      </c>
      <c r="N17" s="1" t="s">
        <v>129</v>
      </c>
      <c r="O17" s="2">
        <v>340.16</v>
      </c>
      <c r="P17" s="10" t="s">
        <v>144</v>
      </c>
      <c r="R17" s="4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41"/>
      <c r="AF17" s="130"/>
      <c r="AG17" s="41"/>
      <c r="AH17" s="41"/>
      <c r="AJ17" s="45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41"/>
      <c r="AY17" s="34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129"/>
      <c r="BM17" s="142"/>
      <c r="BO17" s="75"/>
      <c r="BP17" s="9"/>
      <c r="BQ17" s="8"/>
    </row>
    <row r="18" spans="1:69" x14ac:dyDescent="0.3">
      <c r="A18" s="2">
        <v>12</v>
      </c>
      <c r="B18" s="4">
        <v>45084</v>
      </c>
      <c r="C18" s="4" t="s">
        <v>15</v>
      </c>
      <c r="D18" s="1" t="s">
        <v>94</v>
      </c>
      <c r="E18" s="1"/>
      <c r="F18" s="1"/>
      <c r="G18" s="9">
        <v>47.1</v>
      </c>
      <c r="H18" s="49" t="s">
        <v>27</v>
      </c>
      <c r="I18" s="11">
        <v>47.1</v>
      </c>
      <c r="J18" s="11"/>
      <c r="K18" s="12"/>
      <c r="L18" s="11">
        <v>47.1</v>
      </c>
      <c r="M18" s="2" t="s">
        <v>130</v>
      </c>
      <c r="N18" s="1" t="s">
        <v>192</v>
      </c>
      <c r="O18" s="2">
        <v>47.1</v>
      </c>
      <c r="P18" s="10" t="s">
        <v>144</v>
      </c>
      <c r="R18" s="49" t="s">
        <v>41</v>
      </c>
      <c r="S18" s="9">
        <f>SUMIFS(L5:L72,C5:C72,"APRIL",H5:H72,"SUBSCRIPTIONS/DONATIONS")</f>
        <v>0</v>
      </c>
      <c r="T18" s="9">
        <f>SUMIFS(L5:L72,C5:C72,"MAY",H5:H72,"SUBSCRIPTIONS/DONATIONS")</f>
        <v>0</v>
      </c>
      <c r="U18" s="9">
        <v>0</v>
      </c>
      <c r="V18" s="9">
        <v>0</v>
      </c>
      <c r="W18" s="9">
        <f>SUMIFS(L5:L72,C5:C72,"AUGUST",H5:H72,"SUBSCRIPTIONS/DONATIONS")</f>
        <v>0</v>
      </c>
      <c r="X18" s="9">
        <f>SUMIFS(L5:L72,C5:C72,"SEPTEMBER",H5:H72,"SUBSCRIPTIONS/DONATIONS")</f>
        <v>35</v>
      </c>
      <c r="Y18" s="9">
        <f>SUMIFS(L5:L72,C5:C72,"OCTOBER",H5:H72,"SUBSCRIPTIONS/DONATIONS")</f>
        <v>0</v>
      </c>
      <c r="Z18" s="9">
        <f>SUMIFS(L5:L72,C5:C72,"NOVEMBER",H5:H72,"SUBSCRIPTIONS/DONATIONS")</f>
        <v>0</v>
      </c>
      <c r="AA18" s="9">
        <f>SUMIFS(L5:L72,C5:C72,"DECEMBER",H5:H72,"SUBSCRIPTIONS/DONATIONS")</f>
        <v>0</v>
      </c>
      <c r="AB18" s="9">
        <f>SUMIFS(L5:L72,C5:C72,"JANUARY",H5:H72,"SUBSCRIPTIONS/DONATIONS")</f>
        <v>0</v>
      </c>
      <c r="AC18" s="9">
        <f>SUMIFS(L5:L72,C5:C72,"FEBRUARY",H5:H72,"SUBSCRIPTIONS/DONATIONS")</f>
        <v>0</v>
      </c>
      <c r="AD18" s="9">
        <f>SUMIFS(L5:L72,C5:C72,"MARCH",H5:H72,"SUBSCRIPTIONS/DONATIONS")</f>
        <v>0</v>
      </c>
      <c r="AE18" s="41">
        <f t="shared" si="2"/>
        <v>35</v>
      </c>
      <c r="AF18" s="130">
        <f>AE18</f>
        <v>35</v>
      </c>
      <c r="AG18" s="41">
        <v>518.95000000000005</v>
      </c>
      <c r="AH18" s="41">
        <f>SUM(AG18-AF18)</f>
        <v>483.95000000000005</v>
      </c>
      <c r="AJ18" s="45" t="s">
        <v>41</v>
      </c>
      <c r="AK18" s="9">
        <f>SUM(838.01/12)</f>
        <v>69.834166666666661</v>
      </c>
      <c r="AL18" s="9">
        <f t="shared" ref="AL18:AV18" si="18">SUM(838.01/12)</f>
        <v>69.834166666666661</v>
      </c>
      <c r="AM18" s="9">
        <f t="shared" si="18"/>
        <v>69.834166666666661</v>
      </c>
      <c r="AN18" s="9">
        <f t="shared" si="18"/>
        <v>69.834166666666661</v>
      </c>
      <c r="AO18" s="9">
        <f t="shared" si="18"/>
        <v>69.834166666666661</v>
      </c>
      <c r="AP18" s="9">
        <f t="shared" si="18"/>
        <v>69.834166666666661</v>
      </c>
      <c r="AQ18" s="9">
        <f t="shared" si="18"/>
        <v>69.834166666666661</v>
      </c>
      <c r="AR18" s="9">
        <f t="shared" si="18"/>
        <v>69.834166666666661</v>
      </c>
      <c r="AS18" s="9">
        <f t="shared" si="18"/>
        <v>69.834166666666661</v>
      </c>
      <c r="AT18" s="9">
        <f t="shared" si="18"/>
        <v>69.834166666666661</v>
      </c>
      <c r="AU18" s="9">
        <f t="shared" si="18"/>
        <v>69.834166666666661</v>
      </c>
      <c r="AV18" s="9">
        <f t="shared" si="18"/>
        <v>69.834166666666661</v>
      </c>
      <c r="AW18" s="41">
        <f t="shared" ref="AW18" si="19">SUM(AK18:AV18)</f>
        <v>838.00999999999988</v>
      </c>
      <c r="AY18" s="34" t="s">
        <v>41</v>
      </c>
      <c r="AZ18" s="9">
        <v>0</v>
      </c>
      <c r="BA18" s="9">
        <v>0</v>
      </c>
      <c r="BB18" s="9">
        <v>0</v>
      </c>
      <c r="BC18" s="9">
        <v>0</v>
      </c>
      <c r="BD18" s="9">
        <f>BL18</f>
        <v>500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129">
        <v>500</v>
      </c>
      <c r="BM18" s="143"/>
      <c r="BN18" t="s">
        <v>281</v>
      </c>
      <c r="BO18" s="75" t="s">
        <v>41</v>
      </c>
      <c r="BP18" s="9">
        <v>800</v>
      </c>
      <c r="BQ18" s="8" t="s">
        <v>64</v>
      </c>
    </row>
    <row r="19" spans="1:69" x14ac:dyDescent="0.3">
      <c r="A19" s="2">
        <v>13</v>
      </c>
      <c r="B19" s="4">
        <v>45084</v>
      </c>
      <c r="C19" s="4" t="s">
        <v>15</v>
      </c>
      <c r="D19" s="8" t="s">
        <v>94</v>
      </c>
      <c r="E19" s="1"/>
      <c r="F19" s="2"/>
      <c r="G19" s="9">
        <v>340.16</v>
      </c>
      <c r="H19" s="48" t="s">
        <v>158</v>
      </c>
      <c r="I19" s="11">
        <v>340.16</v>
      </c>
      <c r="J19" s="11"/>
      <c r="K19" s="12"/>
      <c r="L19" s="11">
        <v>340.16</v>
      </c>
      <c r="M19" s="2" t="s">
        <v>131</v>
      </c>
      <c r="N19" s="1" t="s">
        <v>132</v>
      </c>
      <c r="O19" s="2">
        <v>340.16</v>
      </c>
      <c r="P19" s="10" t="s">
        <v>144</v>
      </c>
      <c r="R19" s="49" t="s">
        <v>45</v>
      </c>
      <c r="S19" s="9">
        <f>SUMIFS(L5:L72,C5:C72,"APRIL",H5:H72,"ELECTION")</f>
        <v>0</v>
      </c>
      <c r="T19" s="9">
        <f>SUMIFS(L5:L72,C5:C72,"MAY",H5:H72,"ELECTION")</f>
        <v>0</v>
      </c>
      <c r="U19" s="9">
        <f>SUMIFS(L5:L72,C5:C72,"JUNE",H5:H72,"ELECTION")</f>
        <v>0</v>
      </c>
      <c r="V19" s="9">
        <f>SUMIFS(L5:L72,C5:C72,"JULY",H5:H72,"ELECTION")</f>
        <v>0</v>
      </c>
      <c r="W19" s="9">
        <f>SUMIFS(L5:L72,C5:C72,"AUGUST",H5:H72,"ELECTION")</f>
        <v>0</v>
      </c>
      <c r="X19" s="9">
        <f>SUMIFS(L5:L72,C5:C72,"SEPTEMBER",H5:H72,"ELECTION")</f>
        <v>0</v>
      </c>
      <c r="Y19" s="9">
        <f>SUMIFS(L5:L72,C5:C72,"OCTOBER",H5:H72,"ELECTION")</f>
        <v>0</v>
      </c>
      <c r="Z19" s="9">
        <f>SUMIFS(L5:L72,C5:C72,"NOVEMBER",H5:H72,"ELECTION")</f>
        <v>0</v>
      </c>
      <c r="AA19" s="9">
        <f>SUMIFS(L5:L72,C5:C72,"DECEMBER",H5:H72,"ELECTION")</f>
        <v>0</v>
      </c>
      <c r="AB19" s="9">
        <f>SUMIFS(L5:L72,C5:C72,"JANUARY",H5:H72,"ELECTION")</f>
        <v>0</v>
      </c>
      <c r="AC19" s="9">
        <f>SUMIFS(L5:L72,C5:C72,"FEBRUARY",H5:H72,"ELECTION")</f>
        <v>0</v>
      </c>
      <c r="AD19" s="9">
        <f>SUMIFS(L5:L72,C5:C72,"MARCH",H5:H72,"ELECTION")</f>
        <v>0</v>
      </c>
      <c r="AE19" s="41">
        <f>SUM(S19:AD19)</f>
        <v>0</v>
      </c>
      <c r="AF19" s="130">
        <v>0</v>
      </c>
      <c r="AG19" s="41">
        <v>3250</v>
      </c>
      <c r="AH19" s="41">
        <f t="shared" ref="AH19:AH38" si="20">SUM(AG19-AF19)</f>
        <v>3250</v>
      </c>
      <c r="AJ19" s="45" t="s">
        <v>45</v>
      </c>
      <c r="AK19" s="9">
        <f>SUMIFS(AC5:AC43,T5:T43,"APRIL",Y5:Y43,"ELECTION")</f>
        <v>0</v>
      </c>
      <c r="AL19" s="9">
        <f>SUMIFS(AC5:AC43,T5:T43,"MAY",Y5:Y43,"ELECTION")</f>
        <v>0</v>
      </c>
      <c r="AM19" s="9">
        <f>SUMIFS(AC5:AC43,T5:T43,"JUNE",Y5:Y43,"ELECTION")</f>
        <v>0</v>
      </c>
      <c r="AN19" s="9">
        <f>SUMIFS(AC5:AC43,T5:T43,"JULY",Y5:Y43,"ELECTION")</f>
        <v>0</v>
      </c>
      <c r="AO19" s="9">
        <v>75.06</v>
      </c>
      <c r="AP19" s="9">
        <f>SUMIFS(AC5:AC43,T5:T43,"SEPTEMBER",Y5:Y43,"ELECTION")</f>
        <v>0</v>
      </c>
      <c r="AQ19" s="9">
        <f>SUMIFS(AC5:AC43,T5:T43,"OCTOBER",Y5:Y43,"ELECTION")</f>
        <v>0</v>
      </c>
      <c r="AR19" s="9">
        <f>SUMIFS(AC5:AC43,T5:T43,"NOVEMBER",Y5:Y43,"ELECTION")</f>
        <v>0</v>
      </c>
      <c r="AS19" s="9">
        <f>SUMIFS(AC5:AC43,T5:T43,"DECEMBER",Y5:Y43,"ELECTION")</f>
        <v>0</v>
      </c>
      <c r="AT19" s="9">
        <f>SUMIFS(AC5:AC43,T5:T43,"JANUARY",Y5:Y43,"ELECTION")</f>
        <v>0</v>
      </c>
      <c r="AU19" s="9">
        <f>SUMIFS(AC5:AC43,T5:T43,"FEBRUARY",Y5:Y43,"ELECTION")</f>
        <v>0</v>
      </c>
      <c r="AV19" s="9">
        <f>SUMIFS(AC5:AC43,T5:T43,"MARCH",Y5:Y43,"ELECTION")</f>
        <v>0</v>
      </c>
      <c r="AW19" s="41">
        <f>SUM(AK19:AV19)</f>
        <v>75.06</v>
      </c>
      <c r="AY19" s="34" t="s">
        <v>45</v>
      </c>
      <c r="AZ19" s="9">
        <v>0</v>
      </c>
      <c r="BA19" s="9">
        <f>BL19</f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129">
        <v>0</v>
      </c>
      <c r="BM19" s="143"/>
      <c r="BN19" t="s">
        <v>265</v>
      </c>
      <c r="BO19" s="75" t="s">
        <v>45</v>
      </c>
      <c r="BP19" s="9">
        <v>100</v>
      </c>
      <c r="BQ19" s="8" t="s">
        <v>65</v>
      </c>
    </row>
    <row r="20" spans="1:69" x14ac:dyDescent="0.3">
      <c r="A20" s="2">
        <v>14</v>
      </c>
      <c r="B20" s="4">
        <v>45098</v>
      </c>
      <c r="C20" s="4" t="s">
        <v>15</v>
      </c>
      <c r="D20" s="8" t="s">
        <v>133</v>
      </c>
      <c r="E20" s="1"/>
      <c r="F20" s="8"/>
      <c r="G20" s="9">
        <v>203.4</v>
      </c>
      <c r="H20" s="48" t="s">
        <v>134</v>
      </c>
      <c r="I20" s="11">
        <v>169.5</v>
      </c>
      <c r="J20" s="11"/>
      <c r="K20" s="12">
        <v>33.9</v>
      </c>
      <c r="L20" s="11">
        <v>203.4</v>
      </c>
      <c r="M20" s="2" t="s">
        <v>135</v>
      </c>
      <c r="N20" s="1" t="s">
        <v>136</v>
      </c>
      <c r="O20" s="2">
        <v>203.4</v>
      </c>
      <c r="P20" s="10" t="s">
        <v>159</v>
      </c>
      <c r="R20" s="49" t="s">
        <v>53</v>
      </c>
      <c r="S20" s="9">
        <f>SUMIFS(L5:L72,C5:C72,"APRIL",H5:H72,"HIRE CHARGES")</f>
        <v>0</v>
      </c>
      <c r="T20" s="9">
        <f>SUMIFS(L5:L72,C5:C72,"MAY",H5:H72,"HIRE CHARGES")</f>
        <v>0</v>
      </c>
      <c r="U20" s="9">
        <f>SUMIFS(L5:L72,C5:C72,"JUNE",H5:H72,"HIRE CHARGES")</f>
        <v>0</v>
      </c>
      <c r="V20" s="9">
        <f>SUMIFS(L5:L72,C5:C72,"JULY",H5:H72,"HIRE CHARGES")</f>
        <v>0</v>
      </c>
      <c r="W20" s="9">
        <f>SUMIFS(L5:L72,C5:C72,"AUGUST",H5:H72,"HIRE CHARGES")</f>
        <v>0</v>
      </c>
      <c r="X20" s="9">
        <f>SUMIFS(L5:L72,C5:C72,"SEPTEMBER",H5:H72,"HIRE CHARGES")</f>
        <v>0</v>
      </c>
      <c r="Y20" s="9">
        <f>SUMIFS(L5:L72,C5:C72,"OCTOBER",H5:H72,"HIRE CHARGES")</f>
        <v>0</v>
      </c>
      <c r="Z20" s="9">
        <f>SUMIFS(L5:L72,C5:C72,"NOVEMBER",H5:H72,"HIRE CHARGES")</f>
        <v>0</v>
      </c>
      <c r="AA20" s="9">
        <f>SUMIFS(L5:L72,C5:C72,"DECEMBER",H5:H72,"HIRE CHARGES")</f>
        <v>0</v>
      </c>
      <c r="AB20" s="9">
        <f>SUMIFS(L5:L72,C5:C72,"JANUARY",H5:H72,"HIRE CHARGES")</f>
        <v>0</v>
      </c>
      <c r="AC20" s="9">
        <f>SUMIFS(L5:L72,C5:C72,"FEBRUARY",H5:H72,"HIRE CHARGES")</f>
        <v>0</v>
      </c>
      <c r="AD20" s="9">
        <f>SUMIFS(L5:L72,C5:C72,"MARCH",H5:H72,"HIRE CHARGES")</f>
        <v>0</v>
      </c>
      <c r="AE20" s="41">
        <f t="shared" si="2"/>
        <v>0</v>
      </c>
      <c r="AF20" s="130">
        <v>0</v>
      </c>
      <c r="AG20" s="41">
        <v>0</v>
      </c>
      <c r="AH20" s="41">
        <f t="shared" si="20"/>
        <v>0</v>
      </c>
      <c r="AJ20" s="45" t="s">
        <v>53</v>
      </c>
      <c r="AK20" s="9">
        <f>SUM(108/12)</f>
        <v>9</v>
      </c>
      <c r="AL20" s="9">
        <f t="shared" ref="AL20:AV20" si="21">SUM(108/12)</f>
        <v>9</v>
      </c>
      <c r="AM20" s="9">
        <f t="shared" si="21"/>
        <v>9</v>
      </c>
      <c r="AN20" s="9">
        <f t="shared" si="21"/>
        <v>9</v>
      </c>
      <c r="AO20" s="9">
        <f t="shared" si="21"/>
        <v>9</v>
      </c>
      <c r="AP20" s="9">
        <f t="shared" si="21"/>
        <v>9</v>
      </c>
      <c r="AQ20" s="9">
        <f t="shared" si="21"/>
        <v>9</v>
      </c>
      <c r="AR20" s="9">
        <f t="shared" si="21"/>
        <v>9</v>
      </c>
      <c r="AS20" s="9">
        <f t="shared" si="21"/>
        <v>9</v>
      </c>
      <c r="AT20" s="9">
        <f t="shared" si="21"/>
        <v>9</v>
      </c>
      <c r="AU20" s="9">
        <f t="shared" si="21"/>
        <v>9</v>
      </c>
      <c r="AV20" s="9">
        <f t="shared" si="21"/>
        <v>9</v>
      </c>
      <c r="AW20" s="41">
        <f t="shared" ref="AW20" si="22">SUM(AK20:AV20)</f>
        <v>108</v>
      </c>
      <c r="AY20" s="34" t="s">
        <v>53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129">
        <v>0</v>
      </c>
      <c r="BM20" s="143"/>
      <c r="BO20" s="75" t="s">
        <v>53</v>
      </c>
      <c r="BP20" s="9">
        <v>120</v>
      </c>
      <c r="BQ20" s="8" t="s">
        <v>66</v>
      </c>
    </row>
    <row r="21" spans="1:69" x14ac:dyDescent="0.3">
      <c r="A21" s="2">
        <v>15</v>
      </c>
      <c r="B21" s="4">
        <v>45098</v>
      </c>
      <c r="C21" s="4" t="s">
        <v>15</v>
      </c>
      <c r="D21" s="8" t="s">
        <v>137</v>
      </c>
      <c r="E21" s="1"/>
      <c r="F21" s="8"/>
      <c r="G21" s="9">
        <v>925.02</v>
      </c>
      <c r="H21" s="48" t="s">
        <v>31</v>
      </c>
      <c r="I21" s="11">
        <v>925.02</v>
      </c>
      <c r="J21" s="11"/>
      <c r="K21" s="12"/>
      <c r="L21" s="11">
        <v>925.02</v>
      </c>
      <c r="M21" s="2" t="s">
        <v>138</v>
      </c>
      <c r="N21" s="1" t="s">
        <v>139</v>
      </c>
      <c r="O21" s="2">
        <v>925.02</v>
      </c>
      <c r="P21" s="10" t="s">
        <v>159</v>
      </c>
      <c r="R21" s="4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41"/>
      <c r="AF21" s="130"/>
      <c r="AG21" s="41"/>
      <c r="AH21" s="41">
        <f t="shared" si="20"/>
        <v>0</v>
      </c>
      <c r="AJ21" s="45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41"/>
      <c r="AY21" s="34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129"/>
      <c r="BM21" s="142"/>
      <c r="BO21" s="75"/>
      <c r="BP21" s="9"/>
      <c r="BQ21" s="8"/>
    </row>
    <row r="22" spans="1:69" x14ac:dyDescent="0.3">
      <c r="A22" s="2">
        <v>16</v>
      </c>
      <c r="B22" s="4">
        <v>45098</v>
      </c>
      <c r="C22" s="4" t="s">
        <v>15</v>
      </c>
      <c r="D22" s="8" t="s">
        <v>117</v>
      </c>
      <c r="E22" s="1"/>
      <c r="F22" s="2"/>
      <c r="G22" s="9">
        <v>20</v>
      </c>
      <c r="H22" s="48" t="s">
        <v>37</v>
      </c>
      <c r="I22" s="11">
        <v>20</v>
      </c>
      <c r="J22" s="11"/>
      <c r="K22" s="12"/>
      <c r="L22" s="11">
        <v>20</v>
      </c>
      <c r="M22" s="2" t="s">
        <v>140</v>
      </c>
      <c r="N22" s="1" t="s">
        <v>141</v>
      </c>
      <c r="O22" s="2">
        <v>20</v>
      </c>
      <c r="P22" s="10" t="s">
        <v>159</v>
      </c>
      <c r="R22" s="49" t="s">
        <v>46</v>
      </c>
      <c r="S22" s="9">
        <f>SUMIFS(L5:L72,C5:C72,"APRIL",H5:H72,"TRAINING")</f>
        <v>0</v>
      </c>
      <c r="T22" s="9">
        <f>SUMIFS(L5:L72,C5:C72,"MAY",H5:H72,"TRAINING")</f>
        <v>0</v>
      </c>
      <c r="U22" s="9">
        <f>SUMIFS(L5:L72,C5:C72,"JUNE",H5:H72,"TRAINING")</f>
        <v>231.21</v>
      </c>
      <c r="V22" s="9">
        <f>SUMIFS(L5:L72,C5:C72,"JULY",H5:H72,"TRAINING")</f>
        <v>0</v>
      </c>
      <c r="W22" s="9">
        <f>SUMIFS(L5:L72,C5:C72,"AUGUST",H5:H72,"TRAINING")</f>
        <v>0</v>
      </c>
      <c r="X22" s="9">
        <f>SUMIFS(L5:L72,C5:C72,"SEPTEMBER",H5:H72,"TRAINING")</f>
        <v>0</v>
      </c>
      <c r="Y22" s="9">
        <f>SUMIFS(L5:L72,C5:C72,"OCTOBER",H5:H72,"TRAINING")</f>
        <v>30</v>
      </c>
      <c r="Z22" s="9">
        <f>SUMIFS(L5:L72,C5:C72,"NOVEMBER",H5:H72,"TRAINING")</f>
        <v>0</v>
      </c>
      <c r="AA22" s="9">
        <f>SUMIFS(L5:L72,C5:C72,"DECEMBER",H5:H72,"TRAINING")</f>
        <v>0</v>
      </c>
      <c r="AB22" s="9">
        <f>SUMIFS(L5:L72,C5:C72,"JANUARY",H5:H72,"TRAINING")</f>
        <v>0</v>
      </c>
      <c r="AC22" s="9">
        <f>SUMIFS(L5:L72,C5:C72,"FEBRUARY",H5:H72,"TRAINING")</f>
        <v>0</v>
      </c>
      <c r="AD22" s="9">
        <f>SUMIFS(L5:L72,C5:C72,"MARCH",H5:H72,"TRAINING")</f>
        <v>0</v>
      </c>
      <c r="AE22" s="41">
        <f t="shared" si="2"/>
        <v>261.21000000000004</v>
      </c>
      <c r="AF22" s="130">
        <f>AE22</f>
        <v>261.21000000000004</v>
      </c>
      <c r="AG22" s="41">
        <v>250</v>
      </c>
      <c r="AH22" s="41">
        <f t="shared" si="20"/>
        <v>-11.210000000000036</v>
      </c>
      <c r="AJ22" s="45" t="s">
        <v>46</v>
      </c>
      <c r="AK22" s="9">
        <f>SUM(110/12)</f>
        <v>9.1666666666666661</v>
      </c>
      <c r="AL22" s="9">
        <f t="shared" ref="AL22:AV22" si="23">SUM(110/12)</f>
        <v>9.1666666666666661</v>
      </c>
      <c r="AM22" s="9">
        <f t="shared" si="23"/>
        <v>9.1666666666666661</v>
      </c>
      <c r="AN22" s="9">
        <f t="shared" si="23"/>
        <v>9.1666666666666661</v>
      </c>
      <c r="AO22" s="9">
        <f t="shared" si="23"/>
        <v>9.1666666666666661</v>
      </c>
      <c r="AP22" s="9">
        <f t="shared" si="23"/>
        <v>9.1666666666666661</v>
      </c>
      <c r="AQ22" s="9">
        <f t="shared" si="23"/>
        <v>9.1666666666666661</v>
      </c>
      <c r="AR22" s="9">
        <f t="shared" si="23"/>
        <v>9.1666666666666661</v>
      </c>
      <c r="AS22" s="9">
        <f t="shared" si="23"/>
        <v>9.1666666666666661</v>
      </c>
      <c r="AT22" s="9">
        <f t="shared" si="23"/>
        <v>9.1666666666666661</v>
      </c>
      <c r="AU22" s="9">
        <f t="shared" si="23"/>
        <v>9.1666666666666661</v>
      </c>
      <c r="AV22" s="9">
        <f t="shared" si="23"/>
        <v>9.1666666666666661</v>
      </c>
      <c r="AW22" s="41">
        <f t="shared" ref="AW22" si="24">SUM(AK22:AV22)</f>
        <v>110.00000000000001</v>
      </c>
      <c r="AY22" s="34" t="s">
        <v>46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f>BL22</f>
        <v>310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129">
        <v>310</v>
      </c>
      <c r="BM22" s="143">
        <f>(BL22-AF22)/AF22</f>
        <v>0.18678457945714161</v>
      </c>
      <c r="BN22" t="s">
        <v>266</v>
      </c>
      <c r="BO22" s="75" t="s">
        <v>46</v>
      </c>
      <c r="BP22" s="9">
        <v>110.00000000000001</v>
      </c>
      <c r="BQ22" s="8" t="s">
        <v>75</v>
      </c>
    </row>
    <row r="23" spans="1:69" x14ac:dyDescent="0.3">
      <c r="A23" s="2">
        <v>17</v>
      </c>
      <c r="B23" s="4">
        <v>45098</v>
      </c>
      <c r="C23" s="4" t="s">
        <v>15</v>
      </c>
      <c r="D23" s="8" t="s">
        <v>117</v>
      </c>
      <c r="E23" s="1"/>
      <c r="F23" s="2"/>
      <c r="G23" s="9">
        <v>40</v>
      </c>
      <c r="H23" s="48" t="s">
        <v>37</v>
      </c>
      <c r="I23" s="11">
        <v>40</v>
      </c>
      <c r="J23" s="11"/>
      <c r="K23" s="12"/>
      <c r="L23" s="11">
        <v>40</v>
      </c>
      <c r="M23" s="2" t="s">
        <v>142</v>
      </c>
      <c r="N23" s="1" t="s">
        <v>143</v>
      </c>
      <c r="O23" s="2">
        <v>40</v>
      </c>
      <c r="P23" s="10" t="s">
        <v>159</v>
      </c>
      <c r="R23" s="4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41"/>
      <c r="AF23" s="130"/>
      <c r="AG23" s="41"/>
      <c r="AH23" s="41">
        <f t="shared" si="20"/>
        <v>0</v>
      </c>
      <c r="AJ23" s="45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41"/>
      <c r="AY23" s="34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129"/>
      <c r="BM23" s="142"/>
      <c r="BO23" s="75"/>
      <c r="BP23" s="9"/>
      <c r="BQ23" s="8"/>
    </row>
    <row r="24" spans="1:69" x14ac:dyDescent="0.3">
      <c r="A24" s="2">
        <v>18</v>
      </c>
      <c r="B24" s="4">
        <v>45105</v>
      </c>
      <c r="C24" s="4" t="s">
        <v>15</v>
      </c>
      <c r="D24" s="8" t="s">
        <v>102</v>
      </c>
      <c r="E24" s="1"/>
      <c r="F24" s="2"/>
      <c r="G24" s="9">
        <v>70.8</v>
      </c>
      <c r="H24" s="48" t="s">
        <v>37</v>
      </c>
      <c r="I24" s="11">
        <v>59</v>
      </c>
      <c r="J24" s="11"/>
      <c r="K24" s="12">
        <v>11.8</v>
      </c>
      <c r="L24" s="11">
        <v>70.8</v>
      </c>
      <c r="M24" s="2" t="s">
        <v>146</v>
      </c>
      <c r="N24" s="1" t="s">
        <v>147</v>
      </c>
      <c r="O24" s="2">
        <v>70.8</v>
      </c>
      <c r="P24" s="10" t="s">
        <v>160</v>
      </c>
      <c r="R24" s="4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41"/>
      <c r="AF24" s="130"/>
      <c r="AG24" s="41"/>
      <c r="AH24" s="41">
        <f t="shared" si="20"/>
        <v>0</v>
      </c>
      <c r="AJ24" s="45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41"/>
      <c r="AY24" s="34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129"/>
      <c r="BM24" s="142"/>
      <c r="BO24" s="75"/>
      <c r="BP24" s="9"/>
      <c r="BQ24" s="8"/>
    </row>
    <row r="25" spans="1:69" x14ac:dyDescent="0.3">
      <c r="A25" s="2">
        <v>19</v>
      </c>
      <c r="B25" s="4">
        <v>45105</v>
      </c>
      <c r="C25" s="4" t="s">
        <v>15</v>
      </c>
      <c r="D25" s="8" t="s">
        <v>148</v>
      </c>
      <c r="E25" s="1"/>
      <c r="F25" s="2"/>
      <c r="G25" s="9">
        <v>231.21</v>
      </c>
      <c r="H25" s="48" t="s">
        <v>149</v>
      </c>
      <c r="I25" s="11">
        <v>231.21</v>
      </c>
      <c r="J25" s="11"/>
      <c r="K25" s="12"/>
      <c r="L25" s="11">
        <v>231.21</v>
      </c>
      <c r="M25" s="2" t="s">
        <v>150</v>
      </c>
      <c r="N25" s="1" t="s">
        <v>151</v>
      </c>
      <c r="O25" s="2">
        <v>231.21</v>
      </c>
      <c r="P25" s="10" t="s">
        <v>160</v>
      </c>
      <c r="R25" s="49" t="s">
        <v>32</v>
      </c>
      <c r="S25" s="9">
        <f>SUMIFS(L5:L72,C5:C72,"APRIL",H5:H72,"VILLAGE MAINTENANCE")</f>
        <v>0</v>
      </c>
      <c r="T25" s="9">
        <f>SUMIFS(L5:L72,C5:C72,"MAY",H5:H72,"VILLAGE MAINTENANCE")</f>
        <v>0</v>
      </c>
      <c r="U25" s="9">
        <f>SUMIFS(L5:L72,C5:C72,"JUNE",H5:H72,"VILLAGE MAINTENANCE")</f>
        <v>202.99</v>
      </c>
      <c r="V25" s="9">
        <f>SUMIFS(L5:L72,C5:C72,"JULY",H5:H72,"VILLAGE MAINTENANCE")</f>
        <v>0</v>
      </c>
      <c r="W25" s="9">
        <f>SUMIFS(L5:L72,C5:C72,"AUGUST",H5:H72,"VILLAGE MAINTENANCE")</f>
        <v>0</v>
      </c>
      <c r="X25" s="9">
        <f>SUMIFS(L5:L72,C5:C72,"SEPTEMBER",H5:H72,"VILLAGE MAINTENANCE")</f>
        <v>0</v>
      </c>
      <c r="Y25" s="9">
        <f>SUMIFS(L5:L72,C5:C72,"OCTOBER",H5:H72,"VILLAGE MAINTENANCE")</f>
        <v>200</v>
      </c>
      <c r="Z25" s="9">
        <f>SUMIFS(L5:L72,C5:C72,"NOVEMBER",H5:H72,"VILLAGE MAINTENANCE")</f>
        <v>485</v>
      </c>
      <c r="AA25" s="9">
        <f>SUMIFS(L5:L72,C5:C72,"DECEMBER",H5:H72,"VILLAGE MAINTENANCE")</f>
        <v>0</v>
      </c>
      <c r="AB25" s="9">
        <f>SUMIFS(L5:L72,C5:C72,"JANUARY",H5:H72,"VILLAGE MAINTENANCE")</f>
        <v>0</v>
      </c>
      <c r="AC25" s="9">
        <f>SUMIFS(L5:L72,C5:C72,"FEBRUARY",H5:H72,"VILLAGE MAINTENANCE")</f>
        <v>0</v>
      </c>
      <c r="AD25" s="9">
        <f>SUMIFS(L5:L72,C5:C72,"MARCH",H5:H72,"VILLAGE MAINTENANCE")</f>
        <v>0</v>
      </c>
      <c r="AE25" s="41">
        <f>SUM(S25:AD25)</f>
        <v>887.99</v>
      </c>
      <c r="AF25" s="130">
        <v>1387.99</v>
      </c>
      <c r="AG25" s="41">
        <v>1933.0406</v>
      </c>
      <c r="AH25" s="41">
        <f t="shared" si="20"/>
        <v>545.05060000000003</v>
      </c>
      <c r="AJ25" s="45" t="s">
        <v>32</v>
      </c>
      <c r="AK25" s="9">
        <f>SUM(1100/12)</f>
        <v>91.666666666666671</v>
      </c>
      <c r="AL25" s="9">
        <f t="shared" ref="AL25:AV25" si="25">SUM(1100/12)</f>
        <v>91.666666666666671</v>
      </c>
      <c r="AM25" s="9">
        <f t="shared" si="25"/>
        <v>91.666666666666671</v>
      </c>
      <c r="AN25" s="9">
        <f t="shared" si="25"/>
        <v>91.666666666666671</v>
      </c>
      <c r="AO25" s="9">
        <f t="shared" si="25"/>
        <v>91.666666666666671</v>
      </c>
      <c r="AP25" s="9">
        <f t="shared" si="25"/>
        <v>91.666666666666671</v>
      </c>
      <c r="AQ25" s="9">
        <f t="shared" si="25"/>
        <v>91.666666666666671</v>
      </c>
      <c r="AR25" s="9">
        <f t="shared" si="25"/>
        <v>91.666666666666671</v>
      </c>
      <c r="AS25" s="9">
        <f t="shared" si="25"/>
        <v>91.666666666666671</v>
      </c>
      <c r="AT25" s="9">
        <f t="shared" si="25"/>
        <v>91.666666666666671</v>
      </c>
      <c r="AU25" s="9">
        <f t="shared" si="25"/>
        <v>91.666666666666671</v>
      </c>
      <c r="AV25" s="9">
        <f t="shared" si="25"/>
        <v>91.666666666666671</v>
      </c>
      <c r="AW25" s="41">
        <f>SUM(AK25:AV25)</f>
        <v>1099.9999999999998</v>
      </c>
      <c r="AY25" s="34" t="s">
        <v>32</v>
      </c>
      <c r="AZ25" s="9">
        <f>$BL25/12</f>
        <v>208.33333333333334</v>
      </c>
      <c r="BA25" s="9">
        <f t="shared" ref="BA25:BK25" si="26">$BL25/12</f>
        <v>208.33333333333334</v>
      </c>
      <c r="BB25" s="9">
        <f t="shared" si="26"/>
        <v>208.33333333333334</v>
      </c>
      <c r="BC25" s="9">
        <f t="shared" si="26"/>
        <v>208.33333333333334</v>
      </c>
      <c r="BD25" s="9">
        <f t="shared" si="26"/>
        <v>208.33333333333334</v>
      </c>
      <c r="BE25" s="9">
        <f t="shared" si="26"/>
        <v>208.33333333333334</v>
      </c>
      <c r="BF25" s="9">
        <f t="shared" si="26"/>
        <v>208.33333333333334</v>
      </c>
      <c r="BG25" s="9">
        <f t="shared" si="26"/>
        <v>208.33333333333334</v>
      </c>
      <c r="BH25" s="9">
        <f t="shared" si="26"/>
        <v>208.33333333333334</v>
      </c>
      <c r="BI25" s="9">
        <f t="shared" si="26"/>
        <v>208.33333333333334</v>
      </c>
      <c r="BJ25" s="9">
        <f t="shared" si="26"/>
        <v>208.33333333333334</v>
      </c>
      <c r="BK25" s="9">
        <f t="shared" si="26"/>
        <v>208.33333333333334</v>
      </c>
      <c r="BL25" s="129">
        <v>2500</v>
      </c>
      <c r="BM25" s="143">
        <f>(BL25-AF25)/AF25</f>
        <v>0.80116571445039231</v>
      </c>
      <c r="BN25" t="s">
        <v>278</v>
      </c>
      <c r="BO25" s="75" t="s">
        <v>32</v>
      </c>
      <c r="BP25" s="9">
        <v>1200</v>
      </c>
      <c r="BQ25" s="8" t="s">
        <v>67</v>
      </c>
    </row>
    <row r="26" spans="1:69" x14ac:dyDescent="0.3">
      <c r="A26" s="2">
        <v>20</v>
      </c>
      <c r="B26" s="4">
        <v>45106</v>
      </c>
      <c r="C26" s="4" t="s">
        <v>15</v>
      </c>
      <c r="D26" s="8" t="s">
        <v>152</v>
      </c>
      <c r="E26" s="1"/>
      <c r="F26" s="2"/>
      <c r="G26" s="9">
        <v>114.96</v>
      </c>
      <c r="H26" s="48" t="s">
        <v>175</v>
      </c>
      <c r="I26" s="11">
        <v>95.8</v>
      </c>
      <c r="J26" s="11"/>
      <c r="K26" s="12">
        <v>19.16</v>
      </c>
      <c r="L26" s="11">
        <v>114.96</v>
      </c>
      <c r="M26" s="2" t="s">
        <v>153</v>
      </c>
      <c r="N26" s="1" t="s">
        <v>154</v>
      </c>
      <c r="O26" s="2">
        <v>114.96</v>
      </c>
      <c r="P26" s="10" t="s">
        <v>160</v>
      </c>
      <c r="R26" s="4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41"/>
      <c r="AF26" s="130"/>
      <c r="AG26" s="41"/>
      <c r="AH26" s="41">
        <f t="shared" si="20"/>
        <v>0</v>
      </c>
      <c r="AJ26" s="45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41"/>
      <c r="AY26" s="34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129"/>
      <c r="BM26" s="142"/>
      <c r="BO26" s="75"/>
      <c r="BP26" s="9"/>
      <c r="BQ26" s="8"/>
    </row>
    <row r="27" spans="1:69" x14ac:dyDescent="0.3">
      <c r="A27" s="2">
        <v>21</v>
      </c>
      <c r="B27" s="4">
        <v>45106</v>
      </c>
      <c r="C27" s="4" t="s">
        <v>15</v>
      </c>
      <c r="D27" s="8" t="s">
        <v>155</v>
      </c>
      <c r="E27" s="1"/>
      <c r="F27" s="2"/>
      <c r="G27" s="9">
        <v>83.44</v>
      </c>
      <c r="H27" s="48" t="s">
        <v>175</v>
      </c>
      <c r="I27" s="11">
        <v>69.53</v>
      </c>
      <c r="J27" s="11"/>
      <c r="K27" s="12">
        <v>13.91</v>
      </c>
      <c r="L27" s="11">
        <v>83.44</v>
      </c>
      <c r="M27" s="2" t="s">
        <v>156</v>
      </c>
      <c r="N27" s="1" t="s">
        <v>157</v>
      </c>
      <c r="O27" s="2">
        <v>83.44</v>
      </c>
      <c r="P27" s="10" t="s">
        <v>160</v>
      </c>
      <c r="R27" s="49" t="s">
        <v>47</v>
      </c>
      <c r="S27" s="9">
        <f>SUMIFS(L5:L72,C5:C72,"APRIL",H5:H72,"SECTION 137")</f>
        <v>0</v>
      </c>
      <c r="T27" s="9">
        <f>SUMIFS(L5:L72,C5:C72,"MAY",H5:H72,"SECTION 137")</f>
        <v>0</v>
      </c>
      <c r="U27" s="9">
        <f>SUMIFS(L5:L72,C5:C72,"JUNE",H5:H72,"SECTION 137")</f>
        <v>0</v>
      </c>
      <c r="V27" s="9">
        <f>SUMIFS(L5:L72,C5:C72,"JULY",H5:H72,"SECTION 137")</f>
        <v>0</v>
      </c>
      <c r="W27" s="9">
        <f>SUMIFS(L5:L72,C5:C72,"AUGUST",H5:H72,"SECTION 137")</f>
        <v>0</v>
      </c>
      <c r="X27" s="9">
        <f>SUMIFS(L5:L72,C5:C72,"SEPTEMBER",H5:H72,"SECTION 137")</f>
        <v>0</v>
      </c>
      <c r="Y27" s="9">
        <f>SUMIFS(L5:L72,C5:C72,"OCTOBER",H5:H72,"SECTION 137")</f>
        <v>0</v>
      </c>
      <c r="Z27" s="9">
        <f>SUMIFS(L5:L72,C5:C72,"NOVEMBER",H5:H72,"SECTION 137")</f>
        <v>0</v>
      </c>
      <c r="AA27" s="9">
        <f>SUMIFS(L5:L72,C5:C72,"DECEMBER",H5:H72,"SECTION 137")</f>
        <v>0</v>
      </c>
      <c r="AB27" s="9">
        <f>SUMIFS(L5:L72,C5:C72,"JANUARY",H5:H72,"SECTION 137")</f>
        <v>0</v>
      </c>
      <c r="AC27" s="9">
        <f>SUMIFS(L5:L72,C5:C72,"FEBRUARY",H5:H72,"SECTION 137")</f>
        <v>0</v>
      </c>
      <c r="AD27" s="9">
        <f>SUMIFS(L5:L72,C5:C72,"MARCH",H5:H72,"SECTION 137")</f>
        <v>0</v>
      </c>
      <c r="AE27" s="41">
        <f>SUM(S27:AD27)</f>
        <v>0</v>
      </c>
      <c r="AF27" s="130">
        <v>0</v>
      </c>
      <c r="AG27" s="41">
        <v>0</v>
      </c>
      <c r="AH27" s="41">
        <f t="shared" si="20"/>
        <v>0</v>
      </c>
      <c r="AJ27" s="45" t="s">
        <v>47</v>
      </c>
      <c r="AK27" s="9">
        <f>SUM(1200/12)</f>
        <v>100</v>
      </c>
      <c r="AL27" s="9">
        <f t="shared" ref="AL27:AV27" si="27">SUM(1200/12)</f>
        <v>100</v>
      </c>
      <c r="AM27" s="9">
        <f t="shared" si="27"/>
        <v>100</v>
      </c>
      <c r="AN27" s="9">
        <f t="shared" si="27"/>
        <v>100</v>
      </c>
      <c r="AO27" s="9">
        <f t="shared" si="27"/>
        <v>100</v>
      </c>
      <c r="AP27" s="9">
        <f t="shared" si="27"/>
        <v>100</v>
      </c>
      <c r="AQ27" s="9">
        <f t="shared" si="27"/>
        <v>100</v>
      </c>
      <c r="AR27" s="9">
        <f t="shared" si="27"/>
        <v>100</v>
      </c>
      <c r="AS27" s="9">
        <f t="shared" si="27"/>
        <v>100</v>
      </c>
      <c r="AT27" s="9">
        <f t="shared" si="27"/>
        <v>100</v>
      </c>
      <c r="AU27" s="9">
        <f t="shared" si="27"/>
        <v>100</v>
      </c>
      <c r="AV27" s="9">
        <f t="shared" si="27"/>
        <v>100</v>
      </c>
      <c r="AW27" s="41">
        <f>SUM(AK27:AV27)</f>
        <v>1200</v>
      </c>
      <c r="AY27" s="34" t="s">
        <v>47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129">
        <v>0</v>
      </c>
      <c r="BM27" s="143"/>
      <c r="BO27" s="75" t="s">
        <v>47</v>
      </c>
      <c r="BP27" s="9">
        <v>1200</v>
      </c>
      <c r="BQ27" s="8" t="s">
        <v>68</v>
      </c>
    </row>
    <row r="28" spans="1:69" x14ac:dyDescent="0.3">
      <c r="A28" s="2">
        <v>22</v>
      </c>
      <c r="B28" s="4">
        <v>45115</v>
      </c>
      <c r="C28" s="4" t="s">
        <v>16</v>
      </c>
      <c r="D28" s="8" t="s">
        <v>94</v>
      </c>
      <c r="E28" s="1"/>
      <c r="F28" s="8"/>
      <c r="G28" s="9">
        <v>425.2</v>
      </c>
      <c r="H28" s="49" t="s">
        <v>127</v>
      </c>
      <c r="I28" s="11">
        <v>425.2</v>
      </c>
      <c r="J28" s="11"/>
      <c r="K28" s="12"/>
      <c r="L28" s="11">
        <v>425.2</v>
      </c>
      <c r="M28" s="2" t="s">
        <v>161</v>
      </c>
      <c r="N28" s="1" t="s">
        <v>162</v>
      </c>
      <c r="O28" s="2">
        <v>425.2</v>
      </c>
      <c r="P28" s="10" t="s">
        <v>165</v>
      </c>
      <c r="R28" s="49" t="s">
        <v>48</v>
      </c>
      <c r="S28" s="9">
        <f>SUMIFS(L5:L72,C5:C72,"APRIL",H5:H72,"CHRISTMAS")</f>
        <v>0</v>
      </c>
      <c r="T28" s="9">
        <f>SUMIFS(L5:L72,C5:C72,"MAY",H5:H72,"CHRISTMAS")</f>
        <v>0</v>
      </c>
      <c r="U28" s="9">
        <f>SUMIFS(L5:L72,C5:C72,"JUNE",H5:H72,"CHRISTMAS")</f>
        <v>0</v>
      </c>
      <c r="V28" s="9">
        <f>SUMIFS(L5:L72,C5:C72,"JULY",H5:H72,"CHRISTMAS")</f>
        <v>0</v>
      </c>
      <c r="W28" s="9">
        <f>SUMIFS(L5:L72,C5:C72,"AUGUST",H5:H72,"CHRISTMAS")</f>
        <v>0</v>
      </c>
      <c r="X28" s="9">
        <f>SUMIFS(L5:L72,C5:C72,"SEPTEMBER",H5:H72,"CHRISTMAS")</f>
        <v>0</v>
      </c>
      <c r="Y28" s="9">
        <f>SUMIFS(L5:L72,C5:C72,"OCTOBER",H5:H72,"CHRISTMAS")</f>
        <v>0</v>
      </c>
      <c r="Z28" s="9">
        <f>SUMIFS(L5:L72,C5:C72,"NOVEMBER",H5:H72,"CHRISTMAS")</f>
        <v>345.02</v>
      </c>
      <c r="AA28" s="9">
        <f>SUMIFS(L5:L72,C5:C72,"DECEMBER",H5:H72,"CHRISTMAS")</f>
        <v>216</v>
      </c>
      <c r="AB28" s="9">
        <f>SUMIFS(L6:L73,C6:C73,"JANUARY",H6:H73,"Christmas")</f>
        <v>100</v>
      </c>
      <c r="AC28" s="9">
        <f>SUMIFS(L5:L72,C5:C72,"FEBRUARY",H5:H72,"CHRISTMAS")</f>
        <v>0</v>
      </c>
      <c r="AD28" s="9">
        <f>SUMIFS(L5:L72,C5:C72,"MARCH",H5:H72,"CHRISTMAS")</f>
        <v>0</v>
      </c>
      <c r="AE28" s="41">
        <f>SUM(S28:AD28)</f>
        <v>661.02</v>
      </c>
      <c r="AF28" s="130">
        <f>AE28</f>
        <v>661.02</v>
      </c>
      <c r="AG28" s="41">
        <v>520.57640000000004</v>
      </c>
      <c r="AH28" s="41">
        <f t="shared" si="20"/>
        <v>-140.44359999999995</v>
      </c>
      <c r="AJ28" s="45" t="s">
        <v>48</v>
      </c>
      <c r="AK28" s="9">
        <f>SUMIFS(AC5:AC43,T5:T43,"APRIL",Y5:Y43,"CHRISTMAS")</f>
        <v>0</v>
      </c>
      <c r="AL28" s="9">
        <f>SUMIFS(AC5:AC43,T5:T43,"MAY",Y5:Y43,"CHRISTMAS")</f>
        <v>0</v>
      </c>
      <c r="AM28" s="9">
        <f>SUMIFS(AC5:AC43,T5:T43,"JUNE",Y5:Y43,"CHRISTMAS")</f>
        <v>0</v>
      </c>
      <c r="AN28" s="9">
        <f>SUMIFS(AC5:AC43,T5:T43,"JULY",Y5:Y43,"CHRISTMAS")</f>
        <v>0</v>
      </c>
      <c r="AO28" s="9">
        <f>SUMIFS(AC5:AC43,T5:T43,"AUGUST",Y5:Y43,"CHRISTMAS")</f>
        <v>0</v>
      </c>
      <c r="AP28" s="9">
        <f>SUMIFS(AC5:AC43,T5:T43,"SEPTEMBER",Y5:Y43,"CHRISTMAS")</f>
        <v>0</v>
      </c>
      <c r="AQ28" s="9">
        <f>SUMIFS(AC5:AC43,T5:T43,"OCTOBER",Y5:Y43,"CHRISTMAS")</f>
        <v>0</v>
      </c>
      <c r="AR28" s="9">
        <f>SUMIFS(AC5:AC43,T5:T43,"NOVEMBER",Y5:Y43,"CHRISTMAS")</f>
        <v>0</v>
      </c>
      <c r="AS28" s="9">
        <v>300</v>
      </c>
      <c r="AT28" s="9">
        <f>SUMIFS(AC5:AC43,T5:T43,"JANUARY",Y5:Y43,"CHRISTMAS")</f>
        <v>0</v>
      </c>
      <c r="AU28" s="9">
        <v>0</v>
      </c>
      <c r="AV28" s="9">
        <f>SUMIFS(AC5:AC43,T5:T43,"MARCH",Y5:Y43,"CHRISTMAS")</f>
        <v>0</v>
      </c>
      <c r="AW28" s="41">
        <f>SUM(AK28:AV28)</f>
        <v>300</v>
      </c>
      <c r="AY28" s="34" t="s">
        <v>48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f>BL28</f>
        <v>550</v>
      </c>
      <c r="BI28" s="9">
        <v>0</v>
      </c>
      <c r="BJ28" s="9">
        <v>0</v>
      </c>
      <c r="BK28" s="9">
        <v>0</v>
      </c>
      <c r="BL28" s="129">
        <v>550</v>
      </c>
      <c r="BM28" s="143">
        <f t="shared" ref="BM28" si="28">(BL28-AF28)/AF28</f>
        <v>-0.16795255816768023</v>
      </c>
      <c r="BN28" t="s">
        <v>267</v>
      </c>
      <c r="BO28" s="75" t="s">
        <v>48</v>
      </c>
      <c r="BP28" s="9">
        <v>600</v>
      </c>
      <c r="BQ28" s="8" t="s">
        <v>76</v>
      </c>
    </row>
    <row r="29" spans="1:69" x14ac:dyDescent="0.3">
      <c r="A29" s="2">
        <v>23</v>
      </c>
      <c r="B29" s="4">
        <v>45115</v>
      </c>
      <c r="C29" s="2" t="s">
        <v>16</v>
      </c>
      <c r="D29" s="8" t="s">
        <v>97</v>
      </c>
      <c r="E29" s="1"/>
      <c r="F29" s="8"/>
      <c r="G29" s="9">
        <v>632.6</v>
      </c>
      <c r="H29" s="48" t="s">
        <v>98</v>
      </c>
      <c r="I29" s="11">
        <v>602.48</v>
      </c>
      <c r="J29" s="11"/>
      <c r="K29" s="12">
        <v>30.12</v>
      </c>
      <c r="L29" s="11">
        <v>632.6</v>
      </c>
      <c r="M29" s="2" t="s">
        <v>163</v>
      </c>
      <c r="N29" s="1" t="s">
        <v>164</v>
      </c>
      <c r="O29" s="2">
        <v>632.6</v>
      </c>
      <c r="P29" s="10" t="s">
        <v>165</v>
      </c>
      <c r="R29" s="50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41"/>
      <c r="AF29" s="130"/>
      <c r="AG29" s="41"/>
      <c r="AH29" s="41">
        <f t="shared" si="20"/>
        <v>0</v>
      </c>
      <c r="AJ29" s="46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41"/>
      <c r="AY29" s="38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129"/>
      <c r="BM29" s="142"/>
      <c r="BO29" s="76"/>
      <c r="BP29" s="9"/>
      <c r="BQ29" s="8"/>
    </row>
    <row r="30" spans="1:69" x14ac:dyDescent="0.3">
      <c r="A30" s="2">
        <v>24</v>
      </c>
      <c r="B30" s="4">
        <v>45132</v>
      </c>
      <c r="C30" s="2" t="s">
        <v>16</v>
      </c>
      <c r="D30" s="8" t="s">
        <v>117</v>
      </c>
      <c r="E30" s="1"/>
      <c r="F30" s="8"/>
      <c r="G30" s="9">
        <v>40</v>
      </c>
      <c r="H30" s="48" t="s">
        <v>37</v>
      </c>
      <c r="I30" s="11">
        <v>40</v>
      </c>
      <c r="J30" s="11"/>
      <c r="K30" s="12"/>
      <c r="L30" s="11">
        <v>40</v>
      </c>
      <c r="M30" s="2" t="s">
        <v>166</v>
      </c>
      <c r="N30" s="1" t="s">
        <v>167</v>
      </c>
      <c r="O30" s="2">
        <v>40</v>
      </c>
      <c r="P30" s="10" t="s">
        <v>183</v>
      </c>
      <c r="R30" s="49" t="s">
        <v>43</v>
      </c>
      <c r="S30" s="9">
        <f>SUMIFS(L5:L72,C5:C72,"APRIL",H5:H72,"DEFIB")</f>
        <v>0</v>
      </c>
      <c r="T30" s="9">
        <f>SUMIFS(L5:L72,C5:C72,"MAY",H5:H72,"DEFIB")</f>
        <v>0</v>
      </c>
      <c r="U30" s="9">
        <f>SUMIFS(L5:L72,C5:C72,"JUNE",H5:H72,"DEFIB")</f>
        <v>0</v>
      </c>
      <c r="V30" s="9">
        <f>SUMIFS(L5:L72,C5:C72,"JULY",H5:H72,"DEFIB")</f>
        <v>0</v>
      </c>
      <c r="W30" s="9">
        <f>SUMIFS(L5:L72,C5:C72,"AUGUST",H5:H72,"DEFIB")</f>
        <v>0</v>
      </c>
      <c r="X30" s="9">
        <f>SUMIFS(L5:L72,C5:C72,"SEPTEMBER",H5:H72,"DEFIB")</f>
        <v>0</v>
      </c>
      <c r="Y30" s="9">
        <f>SUMIFS(L5:L72,C5:C72,"OCTOBER",H5:H72,"DEFIB")</f>
        <v>0</v>
      </c>
      <c r="Z30" s="9">
        <f>SUMIFS(L5:L72,C5:C72,"NOVEMBER",H5:H72,"DEFIB")</f>
        <v>0</v>
      </c>
      <c r="AA30" s="9">
        <f>SUMIFS(L5:L72,C5:C72,"DECEMBER",H5:H72,"DEFIB")</f>
        <v>0</v>
      </c>
      <c r="AB30" s="9">
        <f>SUMIFS(L5:L72,C5:C72,"JANUARY",H5:H72,"DEFIB")</f>
        <v>0</v>
      </c>
      <c r="AC30" s="9">
        <f>SUMIFS(L5:L72,C5:C72,"FEBRUARY",H5:H72,"DEFIB")</f>
        <v>0</v>
      </c>
      <c r="AD30" s="9">
        <f>SUMIFS(L5:L72,C5:C72,"MARCH",H5:H72,"DEFIB")</f>
        <v>0</v>
      </c>
      <c r="AE30" s="41">
        <f t="shared" si="2"/>
        <v>0</v>
      </c>
      <c r="AF30" s="130">
        <v>69.44</v>
      </c>
      <c r="AG30" s="41">
        <v>69.443000000000012</v>
      </c>
      <c r="AH30" s="41">
        <f t="shared" si="20"/>
        <v>3.0000000000143245E-3</v>
      </c>
      <c r="AJ30" s="45" t="s">
        <v>43</v>
      </c>
      <c r="AK30" s="9">
        <f>SUMIFS(AC5:AC43,T5:T43,"APRIL",Y5:Y43,"DEFIB")</f>
        <v>0</v>
      </c>
      <c r="AL30" s="9">
        <f>SUMIFS(AC5:AC43,T5:T43,"MAY",Y5:Y43,"DEFIB")</f>
        <v>0</v>
      </c>
      <c r="AM30" s="9">
        <f>SUMIFS(AC5:AC43,T5:T43,"JUNE",Y5:Y43,"DEFIB")</f>
        <v>0</v>
      </c>
      <c r="AN30" s="9">
        <v>50</v>
      </c>
      <c r="AO30" s="9">
        <f>SUMIFS(AC5:AC43,T5:T43,"AUGUST",Y5:Y43,"DEFIB")</f>
        <v>0</v>
      </c>
      <c r="AP30" s="9">
        <f>SUMIFS(AC5:AC43,T5:T43,"SEPTEMBER",Y5:Y43,"DEFIB")</f>
        <v>0</v>
      </c>
      <c r="AQ30" s="9">
        <f>SUMIFS(AC5:AC43,T5:T43,"OCTOBER",Y5:Y43,"DEFIB")</f>
        <v>0</v>
      </c>
      <c r="AR30" s="9">
        <f>SUMIFS(AC5:AC43,T5:T43,"NOVEMBER",Y5:Y43,"DEFIB")</f>
        <v>0</v>
      </c>
      <c r="AS30" s="9">
        <v>50</v>
      </c>
      <c r="AT30" s="9">
        <f>SUMIFS(AC5:AC43,T5:T43,"JANUARY",Y5:Y43,"DEFIB")</f>
        <v>0</v>
      </c>
      <c r="AU30" s="9">
        <f>SUMIFS(AC5:AC43,T5:T43,"FEBRUARY",Y5:Y43,"DEFIB")</f>
        <v>0</v>
      </c>
      <c r="AV30" s="9">
        <f>SUMIFS(AC5:AC43,T5:T43,"MARCH",Y5:Y43,"DEFIB")</f>
        <v>0</v>
      </c>
      <c r="AW30" s="41">
        <f t="shared" ref="AW30" si="29">SUM(AK30:AV30)</f>
        <v>100</v>
      </c>
      <c r="AY30" s="34" t="s">
        <v>43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f>BL30</f>
        <v>75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129">
        <v>75</v>
      </c>
      <c r="BM30" s="143">
        <f>(BL30-AF30)/AF30</f>
        <v>8.0069124423963176E-2</v>
      </c>
      <c r="BN30" s="122"/>
      <c r="BO30" s="75" t="s">
        <v>43</v>
      </c>
      <c r="BP30" s="9">
        <v>100</v>
      </c>
      <c r="BQ30" s="8" t="s">
        <v>69</v>
      </c>
    </row>
    <row r="31" spans="1:69" x14ac:dyDescent="0.3">
      <c r="A31" s="2">
        <v>25</v>
      </c>
      <c r="B31" s="4">
        <v>45132</v>
      </c>
      <c r="C31" s="2" t="s">
        <v>16</v>
      </c>
      <c r="D31" s="8" t="s">
        <v>168</v>
      </c>
      <c r="E31" s="1"/>
      <c r="F31" s="9"/>
      <c r="G31" s="9">
        <v>232</v>
      </c>
      <c r="H31" s="48" t="s">
        <v>37</v>
      </c>
      <c r="I31" s="11">
        <v>232</v>
      </c>
      <c r="J31" s="11"/>
      <c r="K31" s="12"/>
      <c r="L31" s="11">
        <v>232</v>
      </c>
      <c r="M31" s="2" t="s">
        <v>169</v>
      </c>
      <c r="N31" s="1" t="s">
        <v>170</v>
      </c>
      <c r="O31" s="2">
        <v>232</v>
      </c>
      <c r="P31" s="10" t="s">
        <v>183</v>
      </c>
      <c r="R31" s="4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41"/>
      <c r="AF31" s="130"/>
      <c r="AG31" s="41"/>
      <c r="AH31" s="41">
        <f t="shared" si="20"/>
        <v>0</v>
      </c>
      <c r="AJ31" s="45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41"/>
      <c r="AY31" s="34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29"/>
      <c r="BM31" s="142"/>
      <c r="BO31" s="75"/>
      <c r="BP31" s="9"/>
      <c r="BQ31" s="8"/>
    </row>
    <row r="32" spans="1:69" x14ac:dyDescent="0.3">
      <c r="A32" s="2">
        <v>26</v>
      </c>
      <c r="B32" s="4">
        <v>45132</v>
      </c>
      <c r="C32" s="2" t="s">
        <v>16</v>
      </c>
      <c r="D32" s="8" t="s">
        <v>171</v>
      </c>
      <c r="E32" s="1"/>
      <c r="F32" s="8"/>
      <c r="G32" s="52">
        <v>25.2</v>
      </c>
      <c r="H32" s="48" t="s">
        <v>95</v>
      </c>
      <c r="I32" s="11">
        <v>21</v>
      </c>
      <c r="J32" s="11"/>
      <c r="K32" s="12">
        <v>4.2</v>
      </c>
      <c r="L32" s="11">
        <v>25.2</v>
      </c>
      <c r="M32" s="2" t="s">
        <v>172</v>
      </c>
      <c r="N32" s="1" t="s">
        <v>173</v>
      </c>
      <c r="O32" s="8">
        <v>25.2</v>
      </c>
      <c r="P32" s="10" t="s">
        <v>183</v>
      </c>
      <c r="R32" s="49" t="s">
        <v>37</v>
      </c>
      <c r="S32" s="9">
        <f>SUMIFS(L5:L72,C5:C72,"APRIL",H5:H72,"PLAY AREA")</f>
        <v>70.8</v>
      </c>
      <c r="T32" s="9">
        <f>SUMIFS(L5:L72,C5:C72,"MAY",H5:H72,"PLAY AREA")</f>
        <v>0</v>
      </c>
      <c r="U32" s="9">
        <f>SUMIFS(L5:L72,C5:C72,"JUNE",H5:H72,"PLAY AREA")</f>
        <v>170.8</v>
      </c>
      <c r="V32" s="9">
        <f>SUMIFS(L5:L72,C5:C72,"JULY",H5:H72,"PLAY AREA")</f>
        <v>272</v>
      </c>
      <c r="W32" s="9">
        <f>SUMIFS(L5:L72,C5:C72,"AUGUST",H5:H72,"PLAY AREA")</f>
        <v>255</v>
      </c>
      <c r="X32" s="9">
        <f>SUMIFS(L5:L72,C5:C72,"SEPTEMBER",H5:H72,"PLAY AREA")</f>
        <v>40</v>
      </c>
      <c r="Y32" s="9">
        <f>SUMIFS(L5:L72,C5:C72,"OCTOBER",H5:H72,"PLAY AREA")</f>
        <v>40</v>
      </c>
      <c r="Z32" s="9">
        <f>SUMIFS(L5:L72,C5:C72,"NOVEMBER",H5:H72,"PLAY AREA")</f>
        <v>0</v>
      </c>
      <c r="AA32" s="9">
        <f>SUMIFS(L5:L72,C5:C72,"DECEMBER",H5:H72,"PLAY AREA")</f>
        <v>20</v>
      </c>
      <c r="AB32" s="9">
        <f>SUMIFS(L5:L72,C5:C72,"JANUARY",H5:H72,"PLAY AREA")</f>
        <v>0</v>
      </c>
      <c r="AC32" s="9">
        <f>SUMIFS(L5:L72,C5:C72,"FEBRUARY",H5:H72,"PLAY AREA")</f>
        <v>0</v>
      </c>
      <c r="AD32" s="9">
        <f>SUMIFS(L5:L72,C5:C72,"MARCH",H5:H72,"PLAY AREA")</f>
        <v>0</v>
      </c>
      <c r="AE32" s="41">
        <f t="shared" si="2"/>
        <v>868.6</v>
      </c>
      <c r="AF32" s="130">
        <v>990.2</v>
      </c>
      <c r="AG32" s="41">
        <v>750</v>
      </c>
      <c r="AH32" s="41">
        <f t="shared" si="20"/>
        <v>-240.20000000000005</v>
      </c>
      <c r="AJ32" s="45" t="s">
        <v>37</v>
      </c>
      <c r="AK32" s="9">
        <f>SUMIFS(AC5:AC43,T5:T43,"APRIL",Y5:Y43,"PLAY AREA")</f>
        <v>0</v>
      </c>
      <c r="AL32" s="9">
        <f>SUMIFS(AC5:AC43,T5:T43,"MAY",Y5:Y43,"PLAY AREA")</f>
        <v>0</v>
      </c>
      <c r="AM32" s="9">
        <f>SUMIFS(AC5:AC43,T5:T43,"JUNE",Y5:Y43,"PLAY AREA")</f>
        <v>0</v>
      </c>
      <c r="AN32" s="9">
        <v>75</v>
      </c>
      <c r="AO32" s="9">
        <f>SUMIFS(AC5:AC43,T5:T43,"AUGUST",Y5:Y43,"PLAY AREA")</f>
        <v>0</v>
      </c>
      <c r="AP32" s="9">
        <f>SUMIFS(AC5:AC43,T5:T43,"SEPTEMBER",Y5:Y43,"PLAY AREA")</f>
        <v>0</v>
      </c>
      <c r="AQ32" s="9">
        <f>SUMIFS(AC5:AC43,T5:T43,"OCTOBER",Y5:Y43,"PLAY AREA")</f>
        <v>0</v>
      </c>
      <c r="AR32" s="9">
        <f>SUMIFS(AC5:AC43,T5:T43,"NOVEMBER",Y5:Y43,"PLAY AREA")</f>
        <v>0</v>
      </c>
      <c r="AS32" s="9">
        <v>75</v>
      </c>
      <c r="AT32" s="9">
        <f>SUMIFS(AC5:AC43,T5:T43,"JANUARY",Y5:Y43,"PLAY AREA")</f>
        <v>0</v>
      </c>
      <c r="AU32" s="9">
        <f>SUMIFS(AC5:AC43,T5:T43,"FEBRUARY",Y5:Y43,"PLAY AREA")</f>
        <v>0</v>
      </c>
      <c r="AV32" s="9">
        <f>SUMIFS(AC5:AC43,T5:T43,"MARCH",Y5:Y43,"PLAY AREA")</f>
        <v>0</v>
      </c>
      <c r="AW32" s="41">
        <f t="shared" ref="AW32" si="30">SUM(AK32:AV32)</f>
        <v>150</v>
      </c>
      <c r="AY32" s="34" t="s">
        <v>37</v>
      </c>
      <c r="AZ32" s="9">
        <f>BL32/4</f>
        <v>125</v>
      </c>
      <c r="BA32" s="9">
        <v>0</v>
      </c>
      <c r="BB32" s="9">
        <v>0</v>
      </c>
      <c r="BC32" s="9">
        <f>BL32/4</f>
        <v>125</v>
      </c>
      <c r="BD32" s="9">
        <v>0</v>
      </c>
      <c r="BE32" s="9">
        <v>0</v>
      </c>
      <c r="BF32" s="9">
        <f>BL32/4</f>
        <v>125</v>
      </c>
      <c r="BG32" s="9">
        <v>0</v>
      </c>
      <c r="BH32" s="9">
        <v>0</v>
      </c>
      <c r="BI32" s="9">
        <f>BL32/4</f>
        <v>125</v>
      </c>
      <c r="BJ32" s="9">
        <v>0</v>
      </c>
      <c r="BK32" s="9">
        <v>0</v>
      </c>
      <c r="BL32" s="129">
        <v>500</v>
      </c>
      <c r="BM32" s="143">
        <f>(BL32-AF32)/AF32</f>
        <v>-0.49505150474651588</v>
      </c>
      <c r="BN32" t="s">
        <v>268</v>
      </c>
      <c r="BO32" s="75" t="s">
        <v>37</v>
      </c>
      <c r="BP32" s="9">
        <v>500</v>
      </c>
      <c r="BQ32" s="8" t="s">
        <v>77</v>
      </c>
    </row>
    <row r="33" spans="1:69" x14ac:dyDescent="0.3">
      <c r="A33" s="2">
        <v>27</v>
      </c>
      <c r="B33" s="4">
        <v>45132</v>
      </c>
      <c r="C33" s="2" t="s">
        <v>16</v>
      </c>
      <c r="D33" s="39" t="s">
        <v>174</v>
      </c>
      <c r="F33" s="2"/>
      <c r="G33" s="9">
        <v>11.1</v>
      </c>
      <c r="H33" s="48" t="s">
        <v>175</v>
      </c>
      <c r="I33" s="7">
        <v>11.1</v>
      </c>
      <c r="J33" s="11"/>
      <c r="K33" s="12"/>
      <c r="L33" s="11">
        <v>11.1</v>
      </c>
      <c r="M33" s="2" t="s">
        <v>176</v>
      </c>
      <c r="N33" s="1" t="s">
        <v>177</v>
      </c>
      <c r="O33" s="2">
        <v>11.1</v>
      </c>
      <c r="P33" s="10" t="s">
        <v>183</v>
      </c>
      <c r="R33" s="4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41"/>
      <c r="AF33" s="130"/>
      <c r="AG33" s="41"/>
      <c r="AH33" s="41">
        <f t="shared" si="20"/>
        <v>0</v>
      </c>
      <c r="AJ33" s="45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41"/>
      <c r="AY33" s="34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129"/>
      <c r="BM33" s="142"/>
      <c r="BO33" s="75"/>
      <c r="BP33" s="9"/>
      <c r="BQ33" s="8"/>
    </row>
    <row r="34" spans="1:69" x14ac:dyDescent="0.3">
      <c r="A34" s="2">
        <v>28</v>
      </c>
      <c r="B34" s="4">
        <v>45155</v>
      </c>
      <c r="C34" s="2" t="s">
        <v>17</v>
      </c>
      <c r="D34" s="8" t="s">
        <v>94</v>
      </c>
      <c r="E34" s="1"/>
      <c r="F34" s="2"/>
      <c r="G34" s="9">
        <v>340.16</v>
      </c>
      <c r="H34" s="48" t="s">
        <v>127</v>
      </c>
      <c r="I34" s="11">
        <v>340.16</v>
      </c>
      <c r="J34" s="11"/>
      <c r="K34" s="12"/>
      <c r="L34" s="11">
        <v>340.16</v>
      </c>
      <c r="M34" s="2" t="s">
        <v>178</v>
      </c>
      <c r="N34" s="1" t="s">
        <v>180</v>
      </c>
      <c r="O34" s="2">
        <v>340.16</v>
      </c>
      <c r="P34" s="10" t="s">
        <v>184</v>
      </c>
      <c r="R34" s="49" t="s">
        <v>44</v>
      </c>
      <c r="S34" s="9">
        <f>SUMIFS(L5:L72,C5:C72,"APRIL",H5:H72,"FIXED ASSETS")</f>
        <v>0</v>
      </c>
      <c r="T34" s="9">
        <f>SUMIFS(L5:L72,C5:C72,"MAY",H5:H72,"FIXED ASSETS")</f>
        <v>0</v>
      </c>
      <c r="U34" s="9">
        <f>SUMIFS(L5:L72,C5:C72,"JUNE",H5:H72,"FIXED ASSETS")</f>
        <v>0</v>
      </c>
      <c r="V34" s="9">
        <f>SUMIFS(L5:L72,C5:C72,"JULY",H5:H72,"FIXED ASSETS")</f>
        <v>0</v>
      </c>
      <c r="W34" s="9">
        <f>SUMIFS(L5:L72,C5:C72,"AUGUST",H5:H72,"FIXED ASSETS")</f>
        <v>0</v>
      </c>
      <c r="X34" s="9">
        <f>SUMIFS(L5:L72,C5:C72,"SEPTEMBER",H5:H72,"FIXED ASSETS")</f>
        <v>0</v>
      </c>
      <c r="Y34" s="9">
        <f>SUMIFS(L5:L72,C5:C72,"OCTOBER",H5:H72,"FIXED ASSETS")</f>
        <v>0</v>
      </c>
      <c r="Z34" s="9">
        <f>SUMIFS(L5:L72,C5:C72,"NOVEMBER",H5:H72,"FIXED ASSETS")</f>
        <v>0</v>
      </c>
      <c r="AA34" s="9">
        <f>SUMIFS(L5:L72,C5:C72,"DECEMBER",H5:H72,"FIXED ASSETS")</f>
        <v>0</v>
      </c>
      <c r="AB34" s="9">
        <f>SUMIFS(L5:L72,C5:C72,"JANUARY",H5:H72,"FIXED ASSETS")</f>
        <v>0</v>
      </c>
      <c r="AC34" s="9">
        <f>SUMIFS(L5:L72,C5:C72,"FEBRUARY",H5:H72,"FIXED ASSETS")</f>
        <v>0</v>
      </c>
      <c r="AD34" s="9">
        <f>SUMIFS(L5:L72,C5:C72,"MARCH",H5:H72,"FIXED ASSETS")</f>
        <v>0</v>
      </c>
      <c r="AE34" s="41">
        <f t="shared" ref="AE34" si="31">SUM(S34:AD34)</f>
        <v>0</v>
      </c>
      <c r="AF34" s="130">
        <v>0</v>
      </c>
      <c r="AG34" s="41">
        <v>0</v>
      </c>
      <c r="AH34" s="41">
        <f t="shared" si="20"/>
        <v>0</v>
      </c>
      <c r="AJ34" s="45" t="s">
        <v>44</v>
      </c>
      <c r="AK34" s="9">
        <f>SUMIFS(AC5:AC43,T5:T43,"APRIL",Y5:Y43,"FIXED ASSETS")</f>
        <v>0</v>
      </c>
      <c r="AL34" s="9">
        <f>SUMIFS(AC5:AC43,T5:T43,"MAY",Y5:Y43,"FIXED ASSETS")</f>
        <v>0</v>
      </c>
      <c r="AM34" s="9">
        <f>SUMIFS(AC5:AC43,T5:T43,"JUNE",Y5:Y43,"FIXED ASSETS")</f>
        <v>0</v>
      </c>
      <c r="AN34" s="9">
        <f>SUMIFS(AC5:AC43,T5:T43,"JULY",Y5:Y43,"FIXED ASSETS")</f>
        <v>0</v>
      </c>
      <c r="AO34" s="9">
        <f>SUMIFS(AC5:AC43,T5:T43,"AUGUST",Y5:Y43,"FIXED ASSETS")</f>
        <v>0</v>
      </c>
      <c r="AP34" s="9">
        <f>SUMIFS(AC5:AC43,T5:T43,"SEPTEMBER",Y5:Y43,"FIXED ASSETS")</f>
        <v>0</v>
      </c>
      <c r="AQ34" s="9">
        <f>SUMIFS(AC5:AC43,T5:T43,"OCTOBER",Y5:Y43,"FIXED ASSETS")</f>
        <v>0</v>
      </c>
      <c r="AR34" s="9">
        <f>SUMIFS(AC5:AC43,T5:T43,"NOVEMBER",Y5:Y43,"FIXED ASSETS")</f>
        <v>0</v>
      </c>
      <c r="AS34" s="9">
        <f>SUMIFS(AC5:AC43,T5:T43,"DECEMBER",Y5:Y43,"FIXED ASSETS")</f>
        <v>0</v>
      </c>
      <c r="AT34" s="9">
        <f>SUMIFS(AC5:AC43,T5:T43,"JANUARY",Y5:Y43,"FIXED ASSETS")</f>
        <v>0</v>
      </c>
      <c r="AU34" s="9">
        <f>SUMIFS(AC5:AC43,T5:T43,"FEBRUARY",Y5:Y43,"FIXED ASSETS")</f>
        <v>0</v>
      </c>
      <c r="AV34" s="9">
        <f>SUMIFS(AC5:AC43,T5:T43,"MARCH",Y5:Y43,"FIXED ASSETS")</f>
        <v>0</v>
      </c>
      <c r="AW34" s="41">
        <f t="shared" ref="AW34" si="32">SUM(AK34:AV34)</f>
        <v>0</v>
      </c>
      <c r="AY34" s="34" t="s">
        <v>44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129">
        <v>0</v>
      </c>
      <c r="BM34" s="143"/>
      <c r="BO34" s="75" t="s">
        <v>44</v>
      </c>
      <c r="BP34" s="9">
        <v>0</v>
      </c>
      <c r="BQ34" s="8" t="s">
        <v>70</v>
      </c>
    </row>
    <row r="35" spans="1:69" x14ac:dyDescent="0.3">
      <c r="A35" s="2">
        <v>29</v>
      </c>
      <c r="B35" s="4">
        <v>45155</v>
      </c>
      <c r="C35" s="2" t="s">
        <v>17</v>
      </c>
      <c r="D35" s="8" t="s">
        <v>168</v>
      </c>
      <c r="E35" s="1"/>
      <c r="F35" s="2"/>
      <c r="G35" s="9">
        <v>215</v>
      </c>
      <c r="H35" s="48" t="s">
        <v>37</v>
      </c>
      <c r="I35" s="11">
        <v>215</v>
      </c>
      <c r="J35" s="11"/>
      <c r="K35" s="12"/>
      <c r="L35" s="11">
        <v>215</v>
      </c>
      <c r="M35" s="2" t="s">
        <v>179</v>
      </c>
      <c r="N35" s="1" t="s">
        <v>170</v>
      </c>
      <c r="O35" s="2">
        <v>215</v>
      </c>
      <c r="P35" s="10" t="s">
        <v>184</v>
      </c>
      <c r="R35" s="4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41"/>
      <c r="AF35" s="130"/>
      <c r="AG35" s="41"/>
      <c r="AH35" s="41">
        <f t="shared" si="20"/>
        <v>0</v>
      </c>
      <c r="AJ35" s="45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41"/>
      <c r="AY35" s="34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129"/>
      <c r="BM35" s="142"/>
      <c r="BO35" s="75"/>
      <c r="BP35" s="9"/>
      <c r="BQ35" s="8"/>
    </row>
    <row r="36" spans="1:69" x14ac:dyDescent="0.3">
      <c r="A36" s="2">
        <v>30</v>
      </c>
      <c r="B36" s="4">
        <v>45155</v>
      </c>
      <c r="C36" s="2" t="s">
        <v>17</v>
      </c>
      <c r="D36" s="8" t="s">
        <v>117</v>
      </c>
      <c r="E36" s="1"/>
      <c r="F36" s="2"/>
      <c r="G36" s="9">
        <v>40</v>
      </c>
      <c r="H36" s="48" t="s">
        <v>37</v>
      </c>
      <c r="I36" s="11">
        <v>40</v>
      </c>
      <c r="J36" s="11"/>
      <c r="K36" s="12"/>
      <c r="L36" s="11">
        <v>40</v>
      </c>
      <c r="M36" s="2" t="s">
        <v>181</v>
      </c>
      <c r="N36" s="1" t="s">
        <v>182</v>
      </c>
      <c r="O36" s="2">
        <v>40</v>
      </c>
      <c r="P36" s="10" t="s">
        <v>184</v>
      </c>
      <c r="R36" s="49" t="s">
        <v>175</v>
      </c>
      <c r="S36" s="9">
        <f>SUMIFS(L5:L72,C5:C72,"APRIL",H5:H72,"TRAFFIC CALMING")</f>
        <v>0</v>
      </c>
      <c r="T36" s="9">
        <f>SUMIFS(L5:L72,C5:C72,"MAY",H5:H72,"TRAFFIC CALMING")</f>
        <v>0</v>
      </c>
      <c r="U36" s="9">
        <f>SUMIFS(L5:L72,C5:C72,"JUNE",H5:H72,"TRAFFIC CALMING")</f>
        <v>198.39999999999998</v>
      </c>
      <c r="V36" s="9">
        <f>SUMIFS(L5:L72,C5:C72,"JULY",H5:H72,"TRAFFIC CALMING")</f>
        <v>11.1</v>
      </c>
      <c r="W36" s="9">
        <f>SUMIFS(L5:L72,C5:C72,"AUGUST",H5:H72,"TRAFFIC CALMING")</f>
        <v>0</v>
      </c>
      <c r="X36" s="9">
        <f>SUMIFS(L5:L72,C5:C72,"SEPTEMBER",H5:H72,"TRAFFIC CALMING")</f>
        <v>364.29</v>
      </c>
      <c r="Y36" s="9">
        <f>SUMIFS(L5:L72,C5:C72,"OCTOBER",H5:H72,"TRAFFIC CALMING")</f>
        <v>0</v>
      </c>
      <c r="Z36" s="9">
        <f>SUMIFS(L5:L72,C5:C72,"NOVEMBER",H5:H72,"TRAFFIC CALMING")</f>
        <v>0</v>
      </c>
      <c r="AA36" s="9">
        <f>SUMIFS(L5:L72,C5:C72,"DECEMBER",H5:H72,"TRAFFIC CALMING")</f>
        <v>0</v>
      </c>
      <c r="AB36" s="9">
        <f>SUMIFS(L5:L72,C5:C72,"JANUARY",H5:H72,"TRAFFIC CALMING")</f>
        <v>0</v>
      </c>
      <c r="AC36" s="9">
        <f>SUMIFS(L5:L72,C5:C72,"FEBRUARY",H5:H72,"TRAFFIC CALMING")</f>
        <v>0</v>
      </c>
      <c r="AD36" s="9">
        <f>SUMIFS(L5:L72,C5:C72,"MARCH",H5:H72,"TRAFFIC CALMING")</f>
        <v>0</v>
      </c>
      <c r="AE36" s="41">
        <f t="shared" ref="AE36" si="33">SUM(S36:AD36)</f>
        <v>573.79</v>
      </c>
      <c r="AF36" s="130">
        <f>AE36</f>
        <v>573.79</v>
      </c>
      <c r="AG36" s="41">
        <v>0</v>
      </c>
      <c r="AH36" s="41">
        <f t="shared" si="20"/>
        <v>-573.79</v>
      </c>
      <c r="AJ36" s="46" t="s">
        <v>36</v>
      </c>
      <c r="AK36" s="9">
        <f>SUM(500/12)</f>
        <v>41.666666666666664</v>
      </c>
      <c r="AL36" s="9">
        <f t="shared" ref="AL36:AV36" si="34">SUM(500/12)</f>
        <v>41.666666666666664</v>
      </c>
      <c r="AM36" s="9">
        <f t="shared" si="34"/>
        <v>41.666666666666664</v>
      </c>
      <c r="AN36" s="9">
        <f t="shared" si="34"/>
        <v>41.666666666666664</v>
      </c>
      <c r="AO36" s="9">
        <f t="shared" si="34"/>
        <v>41.666666666666664</v>
      </c>
      <c r="AP36" s="9">
        <f t="shared" si="34"/>
        <v>41.666666666666664</v>
      </c>
      <c r="AQ36" s="9">
        <f t="shared" si="34"/>
        <v>41.666666666666664</v>
      </c>
      <c r="AR36" s="9">
        <f t="shared" si="34"/>
        <v>41.666666666666664</v>
      </c>
      <c r="AS36" s="9">
        <f t="shared" si="34"/>
        <v>41.666666666666664</v>
      </c>
      <c r="AT36" s="9">
        <f t="shared" si="34"/>
        <v>41.666666666666664</v>
      </c>
      <c r="AU36" s="9">
        <f t="shared" si="34"/>
        <v>41.666666666666664</v>
      </c>
      <c r="AV36" s="9">
        <f t="shared" si="34"/>
        <v>41.666666666666664</v>
      </c>
      <c r="AW36" s="41">
        <f t="shared" ref="AW36" si="35">SUM(AK36:AV36)</f>
        <v>500.00000000000006</v>
      </c>
      <c r="AY36" s="34" t="s">
        <v>175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f>BL36</f>
        <v>50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129">
        <v>50</v>
      </c>
      <c r="BM36" s="143"/>
      <c r="BO36" s="76" t="s">
        <v>36</v>
      </c>
      <c r="BP36" s="9">
        <v>500.00000000000006</v>
      </c>
      <c r="BQ36" s="8" t="s">
        <v>78</v>
      </c>
    </row>
    <row r="37" spans="1:69" x14ac:dyDescent="0.3">
      <c r="A37" s="2">
        <v>31</v>
      </c>
      <c r="B37" s="4">
        <v>45176</v>
      </c>
      <c r="C37" s="2" t="s">
        <v>18</v>
      </c>
      <c r="D37" s="8" t="s">
        <v>133</v>
      </c>
      <c r="E37" s="1"/>
      <c r="F37" s="2"/>
      <c r="G37" s="9">
        <v>203.4</v>
      </c>
      <c r="H37" s="48" t="s">
        <v>134</v>
      </c>
      <c r="I37" s="11">
        <v>169.5</v>
      </c>
      <c r="J37" s="11"/>
      <c r="K37" s="12">
        <v>33.9</v>
      </c>
      <c r="L37" s="11">
        <v>203.4</v>
      </c>
      <c r="M37" s="2" t="s">
        <v>185</v>
      </c>
      <c r="N37" s="1" t="s">
        <v>186</v>
      </c>
      <c r="O37" s="2">
        <v>203.4</v>
      </c>
      <c r="P37" s="10" t="s">
        <v>207</v>
      </c>
      <c r="R37" s="4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41"/>
      <c r="AF37" s="130"/>
      <c r="AG37" s="41"/>
      <c r="AH37" s="41">
        <f t="shared" si="20"/>
        <v>0</v>
      </c>
      <c r="AJ37" s="45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41"/>
      <c r="AY37" s="34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129"/>
      <c r="BM37" s="142"/>
      <c r="BO37" s="75"/>
      <c r="BP37" s="9"/>
      <c r="BQ37" s="8"/>
    </row>
    <row r="38" spans="1:69" x14ac:dyDescent="0.3">
      <c r="A38" s="2">
        <v>32</v>
      </c>
      <c r="B38" s="4">
        <v>45176</v>
      </c>
      <c r="C38" s="2" t="s">
        <v>18</v>
      </c>
      <c r="D38" s="8" t="s">
        <v>117</v>
      </c>
      <c r="E38" s="1"/>
      <c r="F38" s="2"/>
      <c r="G38" s="9">
        <v>40</v>
      </c>
      <c r="H38" s="48" t="s">
        <v>37</v>
      </c>
      <c r="I38" s="11">
        <v>40</v>
      </c>
      <c r="J38" s="11"/>
      <c r="K38" s="12"/>
      <c r="L38" s="11">
        <v>40</v>
      </c>
      <c r="M38" s="2" t="s">
        <v>187</v>
      </c>
      <c r="N38" s="1" t="s">
        <v>188</v>
      </c>
      <c r="O38" s="2">
        <v>40</v>
      </c>
      <c r="P38" s="10" t="s">
        <v>207</v>
      </c>
      <c r="R38" s="51" t="s">
        <v>11</v>
      </c>
      <c r="S38" s="9">
        <f>SUM(S5:S36)</f>
        <v>1041.5</v>
      </c>
      <c r="T38" s="9">
        <f t="shared" ref="T38:AD38" si="36">SUM(T5:T36)</f>
        <v>0</v>
      </c>
      <c r="U38" s="9">
        <f t="shared" si="36"/>
        <v>2711.3700000000003</v>
      </c>
      <c r="V38" s="9">
        <f t="shared" si="36"/>
        <v>1366.1</v>
      </c>
      <c r="W38" s="9">
        <f t="shared" si="36"/>
        <v>595.16000000000008</v>
      </c>
      <c r="X38" s="9">
        <f t="shared" si="36"/>
        <v>1039.24</v>
      </c>
      <c r="Y38" s="9">
        <f t="shared" si="36"/>
        <v>3994.74</v>
      </c>
      <c r="Z38" s="9">
        <f t="shared" si="36"/>
        <v>1170.18</v>
      </c>
      <c r="AA38" s="9">
        <f t="shared" si="36"/>
        <v>1310.96</v>
      </c>
      <c r="AB38" s="9">
        <f t="shared" si="36"/>
        <v>1764.38</v>
      </c>
      <c r="AC38" s="9">
        <f t="shared" si="36"/>
        <v>404.16</v>
      </c>
      <c r="AD38" s="9">
        <f t="shared" si="36"/>
        <v>484</v>
      </c>
      <c r="AE38" s="41">
        <f>SUM(S38:AD38)</f>
        <v>15881.79</v>
      </c>
      <c r="AF38" s="41">
        <f>SUM(AF5:AF36)</f>
        <v>17405.43</v>
      </c>
      <c r="AG38" s="41">
        <f>SUM(AG5:AG36)</f>
        <v>20486.337900000002</v>
      </c>
      <c r="AH38" s="41">
        <f t="shared" si="20"/>
        <v>3080.907900000002</v>
      </c>
      <c r="AJ38" s="45" t="s">
        <v>39</v>
      </c>
      <c r="AK38" s="9">
        <f>SUM(AK5:AK36)</f>
        <v>1059.0083333333332</v>
      </c>
      <c r="AL38" s="9">
        <f t="shared" ref="AL38:AV38" si="37">SUM(AL5:AL36)</f>
        <v>1059.0083333333332</v>
      </c>
      <c r="AM38" s="9">
        <f t="shared" si="37"/>
        <v>1781.0483333333336</v>
      </c>
      <c r="AN38" s="9">
        <f t="shared" si="37"/>
        <v>1184.0083333333334</v>
      </c>
      <c r="AO38" s="9">
        <f t="shared" si="37"/>
        <v>1134.0683333333334</v>
      </c>
      <c r="AP38" s="9">
        <f t="shared" si="37"/>
        <v>1204.0083333333334</v>
      </c>
      <c r="AQ38" s="9">
        <f t="shared" si="37"/>
        <v>1059.0083333333332</v>
      </c>
      <c r="AR38" s="9">
        <f t="shared" si="37"/>
        <v>1059.0083333333332</v>
      </c>
      <c r="AS38" s="9">
        <f t="shared" si="37"/>
        <v>1529.0083333333334</v>
      </c>
      <c r="AT38" s="9">
        <f t="shared" si="37"/>
        <v>1059.0083333333332</v>
      </c>
      <c r="AU38" s="9">
        <f t="shared" si="37"/>
        <v>1059.0083333333332</v>
      </c>
      <c r="AV38" s="9">
        <f t="shared" si="37"/>
        <v>1104.0083333333334</v>
      </c>
      <c r="AW38" s="41">
        <f>SUM(AK38:AV38)</f>
        <v>14290.199999999999</v>
      </c>
      <c r="AY38" s="34" t="s">
        <v>39</v>
      </c>
      <c r="AZ38" s="9">
        <f>SUM(AZ5:AZ37)</f>
        <v>2036.4948696666665</v>
      </c>
      <c r="BA38" s="9">
        <f t="shared" ref="BA38:BK38" si="38">SUM(BA5:BA37)</f>
        <v>696.19186666666667</v>
      </c>
      <c r="BB38" s="9">
        <f t="shared" si="38"/>
        <v>696.19186666666667</v>
      </c>
      <c r="BC38" s="9">
        <f t="shared" si="38"/>
        <v>3036.494869666667</v>
      </c>
      <c r="BD38" s="9">
        <f t="shared" si="38"/>
        <v>3716.191866666667</v>
      </c>
      <c r="BE38" s="9">
        <f t="shared" si="38"/>
        <v>1171.1918666666666</v>
      </c>
      <c r="BF38" s="9">
        <f t="shared" si="38"/>
        <v>2086.4948696666665</v>
      </c>
      <c r="BG38" s="9">
        <f t="shared" si="38"/>
        <v>696.19186666666667</v>
      </c>
      <c r="BH38" s="9">
        <f t="shared" si="38"/>
        <v>1246.1918666666666</v>
      </c>
      <c r="BI38" s="9">
        <f t="shared" si="38"/>
        <v>2036.4948696666665</v>
      </c>
      <c r="BJ38" s="9">
        <f t="shared" si="38"/>
        <v>696.19186666666667</v>
      </c>
      <c r="BK38" s="9">
        <f t="shared" si="38"/>
        <v>786.19186666666667</v>
      </c>
      <c r="BL38" s="129"/>
      <c r="BM38" s="142"/>
      <c r="BO38" s="77" t="s">
        <v>11</v>
      </c>
      <c r="BP38" s="9">
        <f>SUM(BP5:BP36)</f>
        <v>15325</v>
      </c>
      <c r="BQ38" s="8"/>
    </row>
    <row r="39" spans="1:69" x14ac:dyDescent="0.3">
      <c r="A39" s="2">
        <v>33</v>
      </c>
      <c r="B39" s="4">
        <v>45176</v>
      </c>
      <c r="C39" s="2" t="s">
        <v>18</v>
      </c>
      <c r="D39" s="8" t="s">
        <v>94</v>
      </c>
      <c r="E39" s="1"/>
      <c r="F39" s="2"/>
      <c r="G39" s="9">
        <v>340.16</v>
      </c>
      <c r="H39" s="48" t="s">
        <v>127</v>
      </c>
      <c r="I39" s="11">
        <v>340.16</v>
      </c>
      <c r="J39" s="11"/>
      <c r="K39" s="12"/>
      <c r="L39" s="11">
        <v>340.16</v>
      </c>
      <c r="M39" s="2" t="s">
        <v>189</v>
      </c>
      <c r="N39" s="1" t="s">
        <v>190</v>
      </c>
      <c r="O39" s="2">
        <v>340.16</v>
      </c>
      <c r="P39" s="10" t="s">
        <v>207</v>
      </c>
      <c r="R39" s="8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41"/>
      <c r="AF39" s="41"/>
      <c r="AG39" s="41"/>
      <c r="AH39" s="41"/>
      <c r="AJ39" s="45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41"/>
      <c r="AY39" s="34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109" t="s">
        <v>88</v>
      </c>
      <c r="BK39" s="109">
        <f>SUM(AZ38:BK38)</f>
        <v>18900.514412</v>
      </c>
      <c r="BL39" s="129"/>
      <c r="BM39" s="142"/>
      <c r="BO39" s="75"/>
      <c r="BP39" s="9"/>
      <c r="BQ39" s="8"/>
    </row>
    <row r="40" spans="1:69" ht="15" thickBot="1" x14ac:dyDescent="0.35">
      <c r="A40" s="2">
        <v>34</v>
      </c>
      <c r="B40" s="4">
        <v>45176</v>
      </c>
      <c r="C40" s="2" t="s">
        <v>18</v>
      </c>
      <c r="D40" s="8" t="s">
        <v>94</v>
      </c>
      <c r="E40" s="1"/>
      <c r="F40" s="2"/>
      <c r="G40" s="9">
        <v>48.15</v>
      </c>
      <c r="H40" s="48" t="s">
        <v>27</v>
      </c>
      <c r="I40" s="11">
        <v>48.15</v>
      </c>
      <c r="J40" s="11"/>
      <c r="K40" s="12"/>
      <c r="L40" s="11">
        <v>48.15</v>
      </c>
      <c r="M40" s="2" t="s">
        <v>191</v>
      </c>
      <c r="N40" s="1" t="s">
        <v>193</v>
      </c>
      <c r="O40" s="2">
        <v>48.15</v>
      </c>
      <c r="P40" s="10" t="s">
        <v>207</v>
      </c>
      <c r="R40" s="8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42"/>
      <c r="AF40" s="41"/>
      <c r="AG40" s="42"/>
      <c r="AH40" s="42"/>
      <c r="AJ40" s="45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42"/>
      <c r="AY40" s="34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79" t="s">
        <v>89</v>
      </c>
      <c r="BL40" s="145">
        <f>SUM(BL5:BL39)</f>
        <v>18900.514412</v>
      </c>
      <c r="BM40" s="6" t="s">
        <v>292</v>
      </c>
      <c r="BN40" s="132"/>
      <c r="BO40" s="75"/>
      <c r="BP40" s="9"/>
      <c r="BQ40" s="8"/>
    </row>
    <row r="41" spans="1:69" ht="15" thickBot="1" x14ac:dyDescent="0.35">
      <c r="A41" s="2">
        <v>35</v>
      </c>
      <c r="B41" s="4">
        <v>45176</v>
      </c>
      <c r="C41" s="2" t="s">
        <v>18</v>
      </c>
      <c r="D41" s="8" t="s">
        <v>194</v>
      </c>
      <c r="E41" s="1"/>
      <c r="F41" s="2"/>
      <c r="G41" s="9">
        <v>352.8</v>
      </c>
      <c r="H41" s="48" t="s">
        <v>175</v>
      </c>
      <c r="I41" s="11">
        <v>294</v>
      </c>
      <c r="J41" s="11"/>
      <c r="K41" s="12">
        <v>58.8</v>
      </c>
      <c r="L41" s="11">
        <v>352.8</v>
      </c>
      <c r="M41" s="2" t="s">
        <v>195</v>
      </c>
      <c r="N41" s="1" t="s">
        <v>196</v>
      </c>
      <c r="O41" s="2">
        <v>352.8</v>
      </c>
      <c r="P41" s="10" t="s">
        <v>207</v>
      </c>
      <c r="R41" s="8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36"/>
      <c r="AE41" s="133">
        <f>SUM(AE38)</f>
        <v>15881.79</v>
      </c>
      <c r="AF41" s="133">
        <f>SUM(AF38)</f>
        <v>17405.43</v>
      </c>
      <c r="AG41" s="134">
        <f>SUM(AG38)</f>
        <v>20486.337900000002</v>
      </c>
      <c r="AH41" s="148">
        <f>AG41-AF41</f>
        <v>3080.907900000002</v>
      </c>
      <c r="AJ41" s="45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36"/>
      <c r="AW41" s="43">
        <f>SUM(AW37:AW38)</f>
        <v>14290.199999999999</v>
      </c>
      <c r="AY41" s="34"/>
      <c r="AZ41" s="9"/>
      <c r="BA41" s="9"/>
      <c r="BB41" s="9"/>
      <c r="BC41" s="9"/>
      <c r="BD41" s="9"/>
      <c r="BE41" s="9"/>
      <c r="BF41" s="9"/>
      <c r="BG41" s="9"/>
      <c r="BH41" s="9"/>
      <c r="BI41" s="78"/>
      <c r="BJ41" s="78"/>
      <c r="BK41" s="78"/>
      <c r="BL41" s="131"/>
      <c r="BM41" s="142"/>
      <c r="BO41" s="77" t="s">
        <v>79</v>
      </c>
      <c r="BP41" s="53">
        <f>SUM(BP38)</f>
        <v>15325</v>
      </c>
      <c r="BQ41" s="8"/>
    </row>
    <row r="42" spans="1:69" x14ac:dyDescent="0.3">
      <c r="A42" s="2">
        <v>36</v>
      </c>
      <c r="B42" s="4">
        <v>45176</v>
      </c>
      <c r="C42" s="2" t="s">
        <v>18</v>
      </c>
      <c r="D42" s="8" t="s">
        <v>197</v>
      </c>
      <c r="E42" s="1"/>
      <c r="F42" s="2"/>
      <c r="G42" s="9">
        <v>8.24</v>
      </c>
      <c r="H42" s="48" t="s">
        <v>28</v>
      </c>
      <c r="I42" s="11">
        <v>8.24</v>
      </c>
      <c r="J42" s="11"/>
      <c r="K42" s="12"/>
      <c r="L42" s="11">
        <v>8.24</v>
      </c>
      <c r="M42" s="2" t="s">
        <v>198</v>
      </c>
      <c r="N42" s="1" t="s">
        <v>199</v>
      </c>
      <c r="O42" s="2">
        <v>8.24</v>
      </c>
      <c r="P42" s="10" t="s">
        <v>207</v>
      </c>
      <c r="R42" s="8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13"/>
      <c r="AF42" s="41"/>
      <c r="AG42" s="13"/>
      <c r="AH42" s="13"/>
      <c r="AJ42" s="45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44"/>
      <c r="AY42" s="34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8" t="s">
        <v>269</v>
      </c>
      <c r="BL42" s="129">
        <f>876.73+141.33</f>
        <v>1018.0600000000001</v>
      </c>
      <c r="BM42" s="142"/>
    </row>
    <row r="43" spans="1:69" x14ac:dyDescent="0.3">
      <c r="A43" s="2">
        <v>37</v>
      </c>
      <c r="B43" s="4">
        <v>45176</v>
      </c>
      <c r="C43" s="2" t="s">
        <v>18</v>
      </c>
      <c r="D43" s="8" t="s">
        <v>174</v>
      </c>
      <c r="E43" s="1"/>
      <c r="F43" s="2"/>
      <c r="G43" s="9">
        <v>11.49</v>
      </c>
      <c r="H43" s="48" t="s">
        <v>175</v>
      </c>
      <c r="I43" s="11">
        <v>9.58</v>
      </c>
      <c r="J43" s="11"/>
      <c r="K43" s="12">
        <v>1.91</v>
      </c>
      <c r="L43" s="11">
        <v>11.49</v>
      </c>
      <c r="M43" s="2" t="s">
        <v>200</v>
      </c>
      <c r="N43" s="1" t="s">
        <v>201</v>
      </c>
      <c r="O43" s="2">
        <v>11.49</v>
      </c>
      <c r="P43" s="10" t="s">
        <v>207</v>
      </c>
      <c r="R43" s="8"/>
      <c r="S43" s="9"/>
      <c r="T43" s="9"/>
      <c r="U43" s="9"/>
      <c r="V43" s="9"/>
      <c r="W43" s="9"/>
      <c r="X43" s="9"/>
      <c r="Y43" s="9"/>
      <c r="Z43" s="9"/>
      <c r="AA43" s="9"/>
      <c r="AB43" s="35"/>
      <c r="AC43" s="9"/>
      <c r="AD43" s="9"/>
      <c r="AE43" s="11"/>
      <c r="AF43" s="41"/>
      <c r="AG43" s="41"/>
      <c r="AH43" s="11"/>
      <c r="AJ43" s="45"/>
      <c r="AK43" s="9"/>
      <c r="AL43" s="9"/>
      <c r="AM43" s="9"/>
      <c r="AN43" s="9"/>
      <c r="AO43" s="9"/>
      <c r="AP43" s="9"/>
      <c r="AQ43" s="9"/>
      <c r="AR43" s="9"/>
      <c r="AS43" s="9"/>
      <c r="AT43" s="35"/>
      <c r="AU43" s="9"/>
      <c r="AV43" s="9"/>
      <c r="AW43" s="11"/>
      <c r="AY43" s="34"/>
      <c r="AZ43" s="9"/>
      <c r="BA43" s="9"/>
      <c r="BB43" s="9"/>
      <c r="BC43" s="9"/>
      <c r="BD43" s="9"/>
      <c r="BE43" s="9"/>
      <c r="BF43" s="9"/>
      <c r="BG43" s="9"/>
      <c r="BH43" s="9"/>
      <c r="BI43" s="78"/>
      <c r="BJ43" s="79"/>
      <c r="BK43" s="11" t="s">
        <v>270</v>
      </c>
      <c r="BL43" s="129">
        <v>1300</v>
      </c>
      <c r="BM43" s="142"/>
    </row>
    <row r="44" spans="1:69" x14ac:dyDescent="0.3">
      <c r="A44" s="2" t="s">
        <v>202</v>
      </c>
      <c r="B44" s="4">
        <v>45180</v>
      </c>
      <c r="C44" s="2" t="s">
        <v>18</v>
      </c>
      <c r="D44" s="8" t="s">
        <v>203</v>
      </c>
      <c r="E44" s="1"/>
      <c r="F44" s="2"/>
      <c r="G44" s="9">
        <v>35</v>
      </c>
      <c r="H44" s="48" t="s">
        <v>204</v>
      </c>
      <c r="I44" s="11">
        <v>35</v>
      </c>
      <c r="J44" s="11"/>
      <c r="K44" s="12"/>
      <c r="L44" s="11">
        <v>35</v>
      </c>
      <c r="M44" s="2" t="s">
        <v>202</v>
      </c>
      <c r="N44" s="1" t="s">
        <v>205</v>
      </c>
      <c r="O44" s="2">
        <v>35</v>
      </c>
      <c r="P44" s="10" t="s">
        <v>206</v>
      </c>
      <c r="AF44" s="15"/>
      <c r="AG44" s="41"/>
      <c r="AY44" s="34"/>
      <c r="AZ44" s="9"/>
      <c r="BA44" s="9"/>
      <c r="BB44" s="9"/>
      <c r="BC44" s="9"/>
      <c r="BD44" s="9"/>
      <c r="BE44" s="9"/>
      <c r="BF44" s="9"/>
      <c r="BG44" s="9"/>
      <c r="BH44" s="9"/>
      <c r="BI44" s="78"/>
      <c r="BJ44" s="79"/>
      <c r="BK44" s="11" t="s">
        <v>271</v>
      </c>
      <c r="BL44" s="146">
        <f>BL40-BL42-BL43</f>
        <v>16582.454411999999</v>
      </c>
      <c r="BM44" s="6" t="s">
        <v>271</v>
      </c>
    </row>
    <row r="45" spans="1:69" x14ac:dyDescent="0.3">
      <c r="A45" s="2">
        <v>38</v>
      </c>
      <c r="B45" s="4">
        <v>45205</v>
      </c>
      <c r="C45" s="2" t="s">
        <v>19</v>
      </c>
      <c r="D45" s="8" t="s">
        <v>94</v>
      </c>
      <c r="E45" s="1"/>
      <c r="F45" s="8"/>
      <c r="G45" s="9">
        <v>425.2</v>
      </c>
      <c r="H45" s="48" t="s">
        <v>127</v>
      </c>
      <c r="I45" s="11">
        <v>425.2</v>
      </c>
      <c r="J45" s="11"/>
      <c r="K45" s="12"/>
      <c r="L45" s="11">
        <v>425.2</v>
      </c>
      <c r="M45" s="2" t="s">
        <v>208</v>
      </c>
      <c r="N45" s="1" t="s">
        <v>209</v>
      </c>
      <c r="O45" s="81">
        <v>425.2</v>
      </c>
      <c r="P45" s="10" t="s">
        <v>230</v>
      </c>
      <c r="AE45" s="7" t="s">
        <v>273</v>
      </c>
      <c r="AF45" s="132">
        <v>17548.14</v>
      </c>
      <c r="AY45" s="34"/>
      <c r="AZ45" s="9"/>
      <c r="BA45" s="9"/>
      <c r="BB45" s="9"/>
      <c r="BC45" s="9"/>
      <c r="BD45" s="9"/>
      <c r="BE45" s="9"/>
      <c r="BF45" s="9"/>
      <c r="BG45" s="9"/>
      <c r="BH45" s="9"/>
      <c r="BI45" s="78"/>
      <c r="BJ45" s="79"/>
      <c r="BK45" s="9"/>
      <c r="BL45" s="105"/>
      <c r="BM45" s="142"/>
    </row>
    <row r="46" spans="1:69" x14ac:dyDescent="0.3">
      <c r="A46" s="2">
        <v>39</v>
      </c>
      <c r="B46" s="4">
        <v>45205</v>
      </c>
      <c r="C46" s="4" t="s">
        <v>19</v>
      </c>
      <c r="D46" s="8" t="s">
        <v>117</v>
      </c>
      <c r="E46" s="1"/>
      <c r="F46" s="8"/>
      <c r="G46" s="82">
        <v>40</v>
      </c>
      <c r="H46" s="48" t="s">
        <v>37</v>
      </c>
      <c r="I46" s="11">
        <v>40</v>
      </c>
      <c r="J46" s="11"/>
      <c r="K46" s="12"/>
      <c r="L46" s="11">
        <v>40</v>
      </c>
      <c r="M46" s="2" t="s">
        <v>210</v>
      </c>
      <c r="N46" s="1" t="s">
        <v>211</v>
      </c>
      <c r="O46" s="14">
        <v>40</v>
      </c>
      <c r="P46" s="10" t="s">
        <v>230</v>
      </c>
      <c r="AF46" s="15"/>
      <c r="AY46" s="34"/>
      <c r="AZ46" s="9"/>
      <c r="BA46" s="9"/>
      <c r="BB46" s="9"/>
      <c r="BC46" s="9"/>
      <c r="BD46" s="9"/>
      <c r="BE46" s="9"/>
      <c r="BF46" s="9"/>
      <c r="BG46" s="9"/>
      <c r="BH46" s="9"/>
      <c r="BI46" s="78"/>
      <c r="BJ46" s="79"/>
      <c r="BK46" s="144" t="s">
        <v>290</v>
      </c>
      <c r="BL46" s="147">
        <v>15777.74</v>
      </c>
      <c r="BM46" s="143"/>
    </row>
    <row r="47" spans="1:69" x14ac:dyDescent="0.3">
      <c r="A47" s="2">
        <v>40</v>
      </c>
      <c r="B47" s="4">
        <v>45205</v>
      </c>
      <c r="C47" s="4" t="s">
        <v>19</v>
      </c>
      <c r="D47" s="8" t="s">
        <v>168</v>
      </c>
      <c r="E47" s="1"/>
      <c r="F47" s="8"/>
      <c r="G47" s="9">
        <v>200</v>
      </c>
      <c r="H47" s="48" t="s">
        <v>32</v>
      </c>
      <c r="I47" s="11">
        <v>200</v>
      </c>
      <c r="J47" s="11"/>
      <c r="K47" s="12"/>
      <c r="L47" s="11">
        <v>200</v>
      </c>
      <c r="M47" s="2" t="s">
        <v>212</v>
      </c>
      <c r="N47" s="40" t="s">
        <v>213</v>
      </c>
      <c r="O47" s="2">
        <v>200</v>
      </c>
      <c r="P47" s="10" t="s">
        <v>230</v>
      </c>
      <c r="AF47" s="15"/>
      <c r="AY47" s="34"/>
      <c r="AZ47" s="9"/>
      <c r="BA47" s="9"/>
      <c r="BB47" s="9"/>
      <c r="BC47" s="9"/>
      <c r="BD47" s="9"/>
      <c r="BE47" s="9"/>
      <c r="BF47" s="9"/>
      <c r="BG47" s="9"/>
      <c r="BH47" s="9"/>
      <c r="BI47" s="78"/>
      <c r="BJ47" s="79"/>
      <c r="BK47" s="144" t="s">
        <v>291</v>
      </c>
      <c r="BL47" s="147">
        <f>BL44-BL46</f>
        <v>804.71441199999936</v>
      </c>
      <c r="BM47" s="142"/>
    </row>
    <row r="48" spans="1:69" x14ac:dyDescent="0.3">
      <c r="A48" s="2">
        <v>41</v>
      </c>
      <c r="B48" s="4">
        <v>45205</v>
      </c>
      <c r="C48" s="4" t="s">
        <v>19</v>
      </c>
      <c r="D48" s="8" t="s">
        <v>97</v>
      </c>
      <c r="E48" s="1"/>
      <c r="F48" s="8"/>
      <c r="G48" s="82">
        <v>672.74</v>
      </c>
      <c r="H48" s="49" t="s">
        <v>98</v>
      </c>
      <c r="I48" s="11">
        <v>640.70000000000005</v>
      </c>
      <c r="J48" s="11"/>
      <c r="K48" s="12">
        <v>32.04</v>
      </c>
      <c r="L48" s="11">
        <v>672.74</v>
      </c>
      <c r="M48" s="2" t="s">
        <v>214</v>
      </c>
      <c r="N48" s="1" t="s">
        <v>215</v>
      </c>
      <c r="O48" s="83">
        <v>672.74</v>
      </c>
      <c r="P48" s="10" t="s">
        <v>230</v>
      </c>
      <c r="AF48" s="15"/>
      <c r="AY48" s="34"/>
      <c r="AZ48" s="9"/>
      <c r="BA48" s="9"/>
      <c r="BB48" s="9"/>
      <c r="BC48" s="9"/>
      <c r="BD48" s="9"/>
      <c r="BE48" s="9"/>
      <c r="BF48" s="9"/>
      <c r="BG48" s="9"/>
      <c r="BH48" s="9"/>
      <c r="BI48" s="78"/>
      <c r="BJ48" s="79"/>
      <c r="BK48" s="9"/>
      <c r="BL48" s="105"/>
      <c r="BM48" s="142"/>
    </row>
    <row r="49" spans="1:65" x14ac:dyDescent="0.3">
      <c r="A49" s="2">
        <v>42</v>
      </c>
      <c r="B49" s="4">
        <v>45219</v>
      </c>
      <c r="C49" s="4" t="s">
        <v>19</v>
      </c>
      <c r="D49" s="8" t="s">
        <v>148</v>
      </c>
      <c r="E49" s="1"/>
      <c r="F49" s="8"/>
      <c r="G49" s="82">
        <v>30</v>
      </c>
      <c r="H49" s="48" t="s">
        <v>149</v>
      </c>
      <c r="I49" s="11">
        <v>25</v>
      </c>
      <c r="J49" s="11"/>
      <c r="K49" s="12">
        <v>5</v>
      </c>
      <c r="L49" s="11">
        <v>30</v>
      </c>
      <c r="M49" s="2" t="s">
        <v>216</v>
      </c>
      <c r="N49" s="1" t="s">
        <v>218</v>
      </c>
      <c r="O49" s="2">
        <v>30</v>
      </c>
      <c r="P49" s="10" t="s">
        <v>231</v>
      </c>
      <c r="AF49" s="15"/>
      <c r="AY49" s="34"/>
      <c r="AZ49" s="9"/>
      <c r="BA49" s="9"/>
      <c r="BB49" s="9"/>
      <c r="BC49" s="9"/>
      <c r="BD49" s="9"/>
      <c r="BE49" s="9"/>
      <c r="BF49" s="9"/>
      <c r="BG49" s="9"/>
      <c r="BH49" s="9"/>
      <c r="BI49" s="78"/>
      <c r="BJ49" s="79"/>
      <c r="BK49" s="9"/>
      <c r="BL49" s="105"/>
      <c r="BM49" s="142"/>
    </row>
    <row r="50" spans="1:65" x14ac:dyDescent="0.3">
      <c r="A50" s="2">
        <v>43</v>
      </c>
      <c r="B50" s="4">
        <v>45219</v>
      </c>
      <c r="C50" s="4" t="s">
        <v>19</v>
      </c>
      <c r="D50" s="8" t="s">
        <v>148</v>
      </c>
      <c r="E50" s="1"/>
      <c r="F50" s="8"/>
      <c r="G50" s="9">
        <v>81.599999999999994</v>
      </c>
      <c r="H50" s="48" t="s">
        <v>30</v>
      </c>
      <c r="I50" s="11">
        <v>68</v>
      </c>
      <c r="J50" s="11"/>
      <c r="K50" s="12">
        <v>13.6</v>
      </c>
      <c r="L50" s="11">
        <v>81.599999999999994</v>
      </c>
      <c r="M50" s="2" t="s">
        <v>217</v>
      </c>
      <c r="N50" s="1" t="s">
        <v>219</v>
      </c>
      <c r="O50" s="2">
        <v>81.599999999999994</v>
      </c>
      <c r="P50" s="10" t="s">
        <v>231</v>
      </c>
      <c r="AF50" s="15"/>
      <c r="BI50" s="92"/>
      <c r="BL50" s="128"/>
      <c r="BM50" s="142"/>
    </row>
    <row r="51" spans="1:65" x14ac:dyDescent="0.3">
      <c r="A51" s="2">
        <v>44</v>
      </c>
      <c r="B51" s="4">
        <v>45219</v>
      </c>
      <c r="C51" s="4" t="s">
        <v>19</v>
      </c>
      <c r="D51" s="8" t="s">
        <v>171</v>
      </c>
      <c r="E51" s="1"/>
      <c r="F51" s="8"/>
      <c r="G51" s="9">
        <v>25.2</v>
      </c>
      <c r="H51" s="48" t="s">
        <v>95</v>
      </c>
      <c r="I51" s="11">
        <v>21</v>
      </c>
      <c r="J51" s="11"/>
      <c r="K51" s="12">
        <v>4.2</v>
      </c>
      <c r="L51" s="11">
        <v>25.2</v>
      </c>
      <c r="M51" s="2" t="s">
        <v>220</v>
      </c>
      <c r="N51" s="1" t="s">
        <v>221</v>
      </c>
      <c r="O51" s="2">
        <v>25.2</v>
      </c>
      <c r="P51" s="10" t="s">
        <v>231</v>
      </c>
      <c r="AF51" s="15"/>
      <c r="BI51" s="92"/>
      <c r="BL51" s="128"/>
      <c r="BM51" s="142"/>
    </row>
    <row r="52" spans="1:65" x14ac:dyDescent="0.3">
      <c r="A52" s="2">
        <v>45</v>
      </c>
      <c r="B52" s="4">
        <v>45219</v>
      </c>
      <c r="C52" s="4" t="s">
        <v>19</v>
      </c>
      <c r="D52" s="8" t="s">
        <v>133</v>
      </c>
      <c r="E52" s="1"/>
      <c r="F52" s="8"/>
      <c r="G52" s="82">
        <v>2520</v>
      </c>
      <c r="H52" s="48" t="s">
        <v>134</v>
      </c>
      <c r="I52" s="11">
        <v>2100</v>
      </c>
      <c r="J52" s="11"/>
      <c r="K52" s="12">
        <v>420</v>
      </c>
      <c r="L52" s="11">
        <v>2520</v>
      </c>
      <c r="M52" s="22" t="s">
        <v>222</v>
      </c>
      <c r="N52" s="1" t="s">
        <v>223</v>
      </c>
      <c r="O52" s="14">
        <v>2520</v>
      </c>
      <c r="P52" s="10" t="s">
        <v>231</v>
      </c>
      <c r="AF52" s="15"/>
      <c r="BI52" s="92"/>
      <c r="BL52" s="128"/>
      <c r="BM52" s="142"/>
    </row>
    <row r="53" spans="1:65" x14ac:dyDescent="0.3">
      <c r="A53" s="2">
        <v>46</v>
      </c>
      <c r="B53" s="4">
        <v>45240</v>
      </c>
      <c r="C53" s="4" t="s">
        <v>20</v>
      </c>
      <c r="D53" s="8" t="s">
        <v>94</v>
      </c>
      <c r="E53" s="1"/>
      <c r="F53" s="8"/>
      <c r="G53" s="9">
        <v>340.16</v>
      </c>
      <c r="H53" s="48" t="s">
        <v>127</v>
      </c>
      <c r="I53" s="11">
        <v>340.16</v>
      </c>
      <c r="J53" s="11"/>
      <c r="K53" s="12"/>
      <c r="L53" s="11">
        <v>340.16</v>
      </c>
      <c r="M53" s="2" t="s">
        <v>224</v>
      </c>
      <c r="N53" s="1" t="s">
        <v>225</v>
      </c>
      <c r="O53" s="14">
        <v>340.16</v>
      </c>
      <c r="P53" s="10" t="s">
        <v>237</v>
      </c>
      <c r="AF53" s="15"/>
      <c r="BI53" s="92"/>
      <c r="BL53" s="128"/>
      <c r="BM53" s="142"/>
    </row>
    <row r="54" spans="1:65" x14ac:dyDescent="0.3">
      <c r="A54" s="2">
        <v>47</v>
      </c>
      <c r="B54" s="4">
        <v>45240</v>
      </c>
      <c r="C54" s="2" t="s">
        <v>20</v>
      </c>
      <c r="D54" s="8" t="s">
        <v>117</v>
      </c>
      <c r="E54" s="1"/>
      <c r="F54" s="8"/>
      <c r="G54" s="9">
        <v>40</v>
      </c>
      <c r="H54" s="48" t="s">
        <v>32</v>
      </c>
      <c r="I54" s="11">
        <v>40</v>
      </c>
      <c r="J54" s="11"/>
      <c r="K54" s="12"/>
      <c r="L54" s="11">
        <v>40</v>
      </c>
      <c r="M54" s="2" t="s">
        <v>226</v>
      </c>
      <c r="N54" s="1" t="s">
        <v>227</v>
      </c>
      <c r="O54" s="14">
        <v>40</v>
      </c>
      <c r="P54" s="10" t="s">
        <v>259</v>
      </c>
      <c r="AF54" s="15"/>
      <c r="BI54" s="92"/>
      <c r="BL54" s="128"/>
      <c r="BM54" s="142"/>
    </row>
    <row r="55" spans="1:65" x14ac:dyDescent="0.3">
      <c r="A55" s="2">
        <v>48</v>
      </c>
      <c r="B55" s="4">
        <v>45240</v>
      </c>
      <c r="C55" s="2" t="s">
        <v>20</v>
      </c>
      <c r="D55" s="8" t="s">
        <v>120</v>
      </c>
      <c r="E55" s="1"/>
      <c r="F55" s="8"/>
      <c r="G55" s="9">
        <v>250</v>
      </c>
      <c r="H55" s="48" t="s">
        <v>32</v>
      </c>
      <c r="I55" s="11">
        <v>250</v>
      </c>
      <c r="J55" s="11"/>
      <c r="K55" s="12"/>
      <c r="L55" s="11">
        <v>250</v>
      </c>
      <c r="M55" s="2" t="s">
        <v>228</v>
      </c>
      <c r="N55" s="5" t="s">
        <v>229</v>
      </c>
      <c r="O55" s="14">
        <v>250</v>
      </c>
      <c r="P55" s="10" t="s">
        <v>237</v>
      </c>
      <c r="AF55" s="15"/>
      <c r="BI55" s="92"/>
      <c r="BL55" s="128"/>
      <c r="BM55" s="142"/>
    </row>
    <row r="56" spans="1:65" x14ac:dyDescent="0.3">
      <c r="A56" s="2">
        <v>49</v>
      </c>
      <c r="B56" s="4">
        <v>45254</v>
      </c>
      <c r="C56" s="2" t="s">
        <v>20</v>
      </c>
      <c r="D56" s="8" t="s">
        <v>168</v>
      </c>
      <c r="E56" s="1"/>
      <c r="F56" s="8"/>
      <c r="G56" s="82">
        <v>195</v>
      </c>
      <c r="H56" s="48" t="s">
        <v>32</v>
      </c>
      <c r="I56" s="11">
        <v>195</v>
      </c>
      <c r="J56" s="11"/>
      <c r="K56" s="12"/>
      <c r="L56" s="11">
        <v>195</v>
      </c>
      <c r="M56" s="2" t="s">
        <v>234</v>
      </c>
      <c r="N56" s="1" t="s">
        <v>235</v>
      </c>
      <c r="O56" s="81">
        <v>195</v>
      </c>
      <c r="P56" s="10" t="s">
        <v>259</v>
      </c>
      <c r="AF56" s="15"/>
      <c r="BI56" s="92"/>
      <c r="BL56" s="128"/>
      <c r="BM56" s="142"/>
    </row>
    <row r="57" spans="1:65" x14ac:dyDescent="0.3">
      <c r="A57" s="2">
        <v>50</v>
      </c>
      <c r="B57" s="4">
        <v>45254</v>
      </c>
      <c r="C57" s="2" t="s">
        <v>20</v>
      </c>
      <c r="D57" s="8" t="s">
        <v>232</v>
      </c>
      <c r="E57" s="1"/>
      <c r="F57" s="8"/>
      <c r="G57" s="9">
        <v>189.92</v>
      </c>
      <c r="H57" s="48" t="s">
        <v>48</v>
      </c>
      <c r="I57" s="11">
        <v>158.27000000000001</v>
      </c>
      <c r="J57" s="11"/>
      <c r="K57" s="12">
        <v>31.65</v>
      </c>
      <c r="L57" s="11">
        <v>189.92</v>
      </c>
      <c r="M57" s="2" t="s">
        <v>233</v>
      </c>
      <c r="N57" s="1" t="s">
        <v>236</v>
      </c>
      <c r="O57" s="14">
        <v>189.92</v>
      </c>
      <c r="P57" s="10" t="s">
        <v>259</v>
      </c>
      <c r="AF57" s="15"/>
      <c r="AJ57" s="15" t="s">
        <v>38</v>
      </c>
      <c r="BL57" s="128"/>
      <c r="BM57" s="142"/>
    </row>
    <row r="58" spans="1:65" x14ac:dyDescent="0.3">
      <c r="A58" s="2">
        <v>51</v>
      </c>
      <c r="B58" s="4">
        <v>45259</v>
      </c>
      <c r="C58" s="2" t="s">
        <v>20</v>
      </c>
      <c r="D58" s="8" t="s">
        <v>238</v>
      </c>
      <c r="E58" s="1"/>
      <c r="F58" s="8"/>
      <c r="G58" s="9">
        <v>113.8</v>
      </c>
      <c r="H58" s="48" t="s">
        <v>48</v>
      </c>
      <c r="I58" s="11">
        <v>113.8</v>
      </c>
      <c r="J58" s="11"/>
      <c r="K58" s="12"/>
      <c r="L58" s="11">
        <v>113.8</v>
      </c>
      <c r="M58" s="2" t="s">
        <v>239</v>
      </c>
      <c r="N58" s="1" t="s">
        <v>242</v>
      </c>
      <c r="O58" s="14">
        <v>113.8</v>
      </c>
      <c r="P58" s="10" t="s">
        <v>258</v>
      </c>
      <c r="AF58" s="15"/>
      <c r="BL58" s="128"/>
      <c r="BM58" s="142"/>
    </row>
    <row r="59" spans="1:65" x14ac:dyDescent="0.3">
      <c r="A59" s="2">
        <v>52</v>
      </c>
      <c r="B59" s="4">
        <v>45259</v>
      </c>
      <c r="C59" s="2" t="s">
        <v>20</v>
      </c>
      <c r="D59" s="8" t="s">
        <v>240</v>
      </c>
      <c r="E59" s="1"/>
      <c r="F59" s="8"/>
      <c r="G59" s="82">
        <v>41.3</v>
      </c>
      <c r="H59" s="48" t="s">
        <v>48</v>
      </c>
      <c r="I59" s="11">
        <v>41.3</v>
      </c>
      <c r="J59" s="11"/>
      <c r="K59" s="12"/>
      <c r="L59" s="11">
        <v>41.3</v>
      </c>
      <c r="M59" s="2" t="s">
        <v>241</v>
      </c>
      <c r="N59" s="1" t="s">
        <v>243</v>
      </c>
      <c r="O59" s="8">
        <v>41.3</v>
      </c>
      <c r="P59" s="10" t="s">
        <v>258</v>
      </c>
      <c r="AF59" s="15"/>
      <c r="BL59" s="128"/>
      <c r="BM59" s="142"/>
    </row>
    <row r="60" spans="1:65" x14ac:dyDescent="0.3">
      <c r="A60" s="2">
        <v>53</v>
      </c>
      <c r="B60" s="4">
        <v>45270</v>
      </c>
      <c r="C60" s="2" t="s">
        <v>21</v>
      </c>
      <c r="D60" s="8" t="s">
        <v>244</v>
      </c>
      <c r="E60" s="1"/>
      <c r="F60" s="8"/>
      <c r="G60" s="9">
        <v>216</v>
      </c>
      <c r="H60" s="48" t="s">
        <v>48</v>
      </c>
      <c r="I60" s="11">
        <v>180</v>
      </c>
      <c r="J60" s="11"/>
      <c r="K60" s="12">
        <v>36</v>
      </c>
      <c r="L60" s="11">
        <v>216</v>
      </c>
      <c r="M60" s="22" t="s">
        <v>245</v>
      </c>
      <c r="N60" s="18" t="s">
        <v>246</v>
      </c>
      <c r="O60" s="8">
        <v>216</v>
      </c>
      <c r="P60" s="8" t="s">
        <v>257</v>
      </c>
      <c r="AF60" s="15"/>
      <c r="BL60" s="128"/>
      <c r="BM60" s="142"/>
    </row>
    <row r="61" spans="1:65" x14ac:dyDescent="0.3">
      <c r="A61" s="2">
        <v>54</v>
      </c>
      <c r="B61" s="4">
        <v>45270</v>
      </c>
      <c r="C61" s="2" t="s">
        <v>21</v>
      </c>
      <c r="D61" s="8" t="s">
        <v>117</v>
      </c>
      <c r="E61" s="1"/>
      <c r="F61" s="8"/>
      <c r="G61" s="9">
        <v>20</v>
      </c>
      <c r="H61" s="48" t="s">
        <v>37</v>
      </c>
      <c r="I61" s="11">
        <v>20</v>
      </c>
      <c r="J61" s="11"/>
      <c r="K61" s="12"/>
      <c r="L61" s="11">
        <v>20</v>
      </c>
      <c r="M61" s="2" t="s">
        <v>247</v>
      </c>
      <c r="N61" s="1" t="s">
        <v>248</v>
      </c>
      <c r="O61" s="8">
        <v>20</v>
      </c>
      <c r="P61" s="10" t="s">
        <v>257</v>
      </c>
      <c r="AF61" s="15"/>
      <c r="BL61" s="128"/>
      <c r="BM61" s="142"/>
    </row>
    <row r="62" spans="1:65" x14ac:dyDescent="0.3">
      <c r="A62" s="2">
        <v>55</v>
      </c>
      <c r="B62" s="4">
        <v>45270</v>
      </c>
      <c r="C62" s="2" t="s">
        <v>21</v>
      </c>
      <c r="D62" s="8" t="s">
        <v>94</v>
      </c>
      <c r="E62" s="1"/>
      <c r="F62" s="8"/>
      <c r="G62" s="9">
        <v>884.16</v>
      </c>
      <c r="H62" s="48" t="s">
        <v>127</v>
      </c>
      <c r="I62" s="11">
        <v>884.16</v>
      </c>
      <c r="J62" s="11"/>
      <c r="K62" s="12"/>
      <c r="L62" s="11">
        <v>884.16</v>
      </c>
      <c r="M62" s="2" t="s">
        <v>249</v>
      </c>
      <c r="N62" s="1" t="s">
        <v>250</v>
      </c>
      <c r="O62" s="8">
        <v>884.16</v>
      </c>
      <c r="P62" s="10" t="s">
        <v>257</v>
      </c>
      <c r="AF62" s="15"/>
      <c r="BL62" s="128"/>
      <c r="BM62" s="142"/>
    </row>
    <row r="63" spans="1:65" x14ac:dyDescent="0.3">
      <c r="A63" s="2">
        <v>56</v>
      </c>
      <c r="B63" s="4">
        <v>44967</v>
      </c>
      <c r="C63" s="2" t="s">
        <v>21</v>
      </c>
      <c r="D63" s="8" t="s">
        <v>133</v>
      </c>
      <c r="E63" s="1"/>
      <c r="F63" s="8"/>
      <c r="G63" s="9">
        <v>190.8</v>
      </c>
      <c r="H63" s="48" t="s">
        <v>134</v>
      </c>
      <c r="I63" s="11">
        <v>159</v>
      </c>
      <c r="J63" s="11"/>
      <c r="K63" s="12">
        <v>31.8</v>
      </c>
      <c r="L63" s="11">
        <v>190.8</v>
      </c>
      <c r="M63" s="2" t="s">
        <v>251</v>
      </c>
      <c r="N63" s="1" t="s">
        <v>252</v>
      </c>
      <c r="O63" s="8">
        <v>190.8</v>
      </c>
      <c r="P63" s="10" t="s">
        <v>257</v>
      </c>
      <c r="AF63" s="15"/>
      <c r="BL63" s="128"/>
      <c r="BM63" s="142"/>
    </row>
    <row r="64" spans="1:65" x14ac:dyDescent="0.3">
      <c r="A64" s="2">
        <v>57</v>
      </c>
      <c r="B64" s="4">
        <v>44929</v>
      </c>
      <c r="C64" s="2" t="s">
        <v>22</v>
      </c>
      <c r="D64" s="8" t="s">
        <v>94</v>
      </c>
      <c r="E64" s="1"/>
      <c r="F64" s="10"/>
      <c r="G64" s="9">
        <v>505.2</v>
      </c>
      <c r="H64" s="48" t="s">
        <v>127</v>
      </c>
      <c r="I64" s="11">
        <v>505.2</v>
      </c>
      <c r="J64" s="11"/>
      <c r="K64" s="12"/>
      <c r="L64" s="11">
        <v>505.2</v>
      </c>
      <c r="M64" s="2" t="s">
        <v>253</v>
      </c>
      <c r="N64" s="1" t="s">
        <v>254</v>
      </c>
      <c r="O64" s="8">
        <v>505.2</v>
      </c>
      <c r="P64" s="8"/>
      <c r="AF64" s="15"/>
      <c r="BL64" s="128"/>
      <c r="BM64" s="142"/>
    </row>
    <row r="65" spans="1:65" x14ac:dyDescent="0.3">
      <c r="A65" s="2">
        <v>58</v>
      </c>
      <c r="B65" s="4">
        <v>44929</v>
      </c>
      <c r="C65" s="2" t="s">
        <v>22</v>
      </c>
      <c r="D65" s="8" t="s">
        <v>94</v>
      </c>
      <c r="E65" s="1"/>
      <c r="F65" s="10"/>
      <c r="G65" s="9">
        <v>48.15</v>
      </c>
      <c r="H65" s="48" t="s">
        <v>27</v>
      </c>
      <c r="I65" s="11">
        <v>48.15</v>
      </c>
      <c r="J65" s="11"/>
      <c r="K65" s="12"/>
      <c r="L65" s="11">
        <v>48.15</v>
      </c>
      <c r="M65" s="2" t="s">
        <v>255</v>
      </c>
      <c r="N65" s="1" t="s">
        <v>256</v>
      </c>
      <c r="O65" s="8">
        <v>48.15</v>
      </c>
      <c r="P65" s="10"/>
      <c r="AF65" s="15"/>
      <c r="BL65" s="128"/>
      <c r="BM65" s="142"/>
    </row>
    <row r="66" spans="1:65" x14ac:dyDescent="0.3">
      <c r="A66" s="2">
        <v>59</v>
      </c>
      <c r="B66" s="4">
        <v>45301</v>
      </c>
      <c r="C66" s="2" t="s">
        <v>22</v>
      </c>
      <c r="D66" s="8" t="s">
        <v>97</v>
      </c>
      <c r="E66" s="1"/>
      <c r="F66" s="8"/>
      <c r="G66" s="9">
        <v>1111.03</v>
      </c>
      <c r="H66" s="48" t="s">
        <v>98</v>
      </c>
      <c r="I66" s="11">
        <v>1058.1199999999999</v>
      </c>
      <c r="J66" s="11"/>
      <c r="K66" s="12">
        <v>52.91</v>
      </c>
      <c r="L66" s="11">
        <v>1111.03</v>
      </c>
      <c r="M66" s="2" t="s">
        <v>282</v>
      </c>
      <c r="N66" s="1" t="s">
        <v>283</v>
      </c>
      <c r="O66" s="12">
        <v>1111.03</v>
      </c>
      <c r="P66" s="10"/>
      <c r="AF66" s="15"/>
      <c r="BL66" s="128"/>
      <c r="BM66" s="142"/>
    </row>
    <row r="67" spans="1:65" x14ac:dyDescent="0.3">
      <c r="A67" s="2">
        <v>60</v>
      </c>
      <c r="B67" s="4">
        <v>45301</v>
      </c>
      <c r="C67" s="2" t="s">
        <v>22</v>
      </c>
      <c r="D67" s="8" t="s">
        <v>284</v>
      </c>
      <c r="E67" s="1"/>
      <c r="F67" s="8"/>
      <c r="G67" s="9">
        <v>100</v>
      </c>
      <c r="H67" s="48" t="s">
        <v>48</v>
      </c>
      <c r="I67" s="11">
        <v>100</v>
      </c>
      <c r="J67" s="11"/>
      <c r="K67" s="12"/>
      <c r="L67" s="11">
        <v>100</v>
      </c>
      <c r="M67" s="2" t="s">
        <v>285</v>
      </c>
      <c r="N67" s="1" t="s">
        <v>286</v>
      </c>
      <c r="O67" s="8">
        <v>100</v>
      </c>
      <c r="P67" s="10"/>
      <c r="AF67" s="15"/>
      <c r="BL67" s="128"/>
      <c r="BM67" s="142"/>
    </row>
    <row r="68" spans="1:65" x14ac:dyDescent="0.3">
      <c r="A68" s="2"/>
      <c r="B68" s="4"/>
      <c r="C68" s="2"/>
      <c r="D68" s="8"/>
      <c r="E68" s="1"/>
      <c r="F68" s="8"/>
      <c r="G68" s="12"/>
      <c r="H68" s="48"/>
      <c r="I68" s="11"/>
      <c r="J68" s="11"/>
      <c r="K68" s="12"/>
      <c r="L68" s="11"/>
      <c r="M68" s="2"/>
      <c r="N68" s="1"/>
      <c r="O68" s="8"/>
      <c r="P68" s="8"/>
      <c r="AF68" s="15"/>
      <c r="BL68" s="128"/>
      <c r="BM68" s="142"/>
    </row>
    <row r="69" spans="1:65" x14ac:dyDescent="0.3">
      <c r="A69" s="2"/>
      <c r="B69" s="4"/>
      <c r="C69" s="2"/>
      <c r="D69" s="8"/>
      <c r="E69" s="1"/>
      <c r="F69" s="8"/>
      <c r="G69" s="12"/>
      <c r="H69" s="48"/>
      <c r="I69" s="11"/>
      <c r="J69" s="11"/>
      <c r="K69" s="12"/>
      <c r="L69" s="11"/>
      <c r="M69" s="2"/>
      <c r="N69" s="1"/>
      <c r="O69" s="8"/>
      <c r="P69" s="10"/>
      <c r="AF69" s="15"/>
      <c r="BL69" s="128"/>
      <c r="BM69" s="142"/>
    </row>
    <row r="70" spans="1:65" x14ac:dyDescent="0.3">
      <c r="A70" s="2"/>
      <c r="B70" s="4"/>
      <c r="C70" s="2"/>
      <c r="D70" s="8"/>
      <c r="E70" s="1"/>
      <c r="F70" s="8"/>
      <c r="G70" s="12"/>
      <c r="H70" s="48"/>
      <c r="I70" s="11"/>
      <c r="J70" s="11"/>
      <c r="K70" s="12"/>
      <c r="L70" s="11"/>
      <c r="M70" s="2"/>
      <c r="N70" s="1"/>
      <c r="O70" s="8"/>
      <c r="P70" s="10"/>
      <c r="AF70" s="15"/>
      <c r="BL70" s="128"/>
      <c r="BM70" s="142"/>
    </row>
    <row r="71" spans="1:65" x14ac:dyDescent="0.3">
      <c r="A71" s="2"/>
      <c r="B71" s="10"/>
      <c r="C71" s="2"/>
      <c r="D71" s="8"/>
      <c r="E71" s="1"/>
      <c r="F71" s="8"/>
      <c r="G71" s="12"/>
      <c r="H71" s="48"/>
      <c r="I71" s="11"/>
      <c r="J71" s="11"/>
      <c r="K71" s="12"/>
      <c r="L71" s="11"/>
      <c r="M71" s="2"/>
      <c r="N71" s="1"/>
      <c r="O71" s="8"/>
      <c r="P71" s="10"/>
      <c r="AF71" s="15"/>
      <c r="BL71" s="128"/>
      <c r="BM71" s="142"/>
    </row>
    <row r="72" spans="1:65" x14ac:dyDescent="0.3">
      <c r="A72" s="8"/>
      <c r="B72" s="8"/>
      <c r="C72" s="8"/>
      <c r="D72" s="8"/>
      <c r="E72" s="1"/>
      <c r="F72" s="8"/>
      <c r="G72" s="12"/>
      <c r="H72" s="1"/>
      <c r="I72" s="11"/>
      <c r="J72" s="11"/>
      <c r="K72" s="12"/>
      <c r="L72" s="11"/>
      <c r="M72" s="2"/>
      <c r="N72" s="8"/>
      <c r="O72" s="8"/>
      <c r="P72" s="8"/>
      <c r="AF72" s="15"/>
      <c r="BL72" s="128"/>
      <c r="BM72" s="142"/>
    </row>
    <row r="73" spans="1:65" x14ac:dyDescent="0.3">
      <c r="A73" s="8"/>
      <c r="B73" s="8"/>
      <c r="C73" s="8"/>
      <c r="D73" s="8"/>
      <c r="E73" s="1"/>
      <c r="F73" s="116">
        <f>SUM(F5:F71)</f>
        <v>17524.84</v>
      </c>
      <c r="G73" s="116">
        <f>SUM(G5:G72)</f>
        <v>14993.63</v>
      </c>
      <c r="H73" s="116"/>
      <c r="I73" s="116">
        <f>SUM(I5:I72)</f>
        <v>14116.899999999998</v>
      </c>
      <c r="J73" s="116"/>
      <c r="K73" s="116">
        <f>SUM(K5:K72)</f>
        <v>876.72999999999979</v>
      </c>
      <c r="L73" s="116">
        <f>SUM(L5:L72)</f>
        <v>14993.63</v>
      </c>
      <c r="M73" s="2"/>
      <c r="N73" s="1"/>
      <c r="O73" s="12"/>
      <c r="P73" s="8"/>
      <c r="AF73" s="15"/>
      <c r="BL73" s="128"/>
      <c r="BM73" s="142"/>
    </row>
    <row r="74" spans="1:65" x14ac:dyDescent="0.3">
      <c r="G74" s="19"/>
      <c r="H74" s="20"/>
      <c r="I74" s="21" t="s">
        <v>33</v>
      </c>
      <c r="J74" s="21"/>
      <c r="K74" s="19" t="s">
        <v>34</v>
      </c>
      <c r="L74" s="21" t="s">
        <v>35</v>
      </c>
      <c r="AF74" s="15"/>
      <c r="BL74" s="128"/>
      <c r="BM74" s="142"/>
    </row>
    <row r="75" spans="1:65" x14ac:dyDescent="0.3">
      <c r="AF75" s="15"/>
      <c r="BL75" s="128"/>
      <c r="BM75" s="142"/>
    </row>
    <row r="76" spans="1:65" x14ac:dyDescent="0.3">
      <c r="H76" s="15"/>
      <c r="K76" s="15" t="s">
        <v>80</v>
      </c>
      <c r="L76" s="116">
        <f>SUM(I73+K73)</f>
        <v>14993.629999999997</v>
      </c>
      <c r="AF76" s="15"/>
      <c r="BL76" s="128"/>
      <c r="BM76" s="142"/>
    </row>
    <row r="77" spans="1:65" x14ac:dyDescent="0.3">
      <c r="AF77" s="15"/>
      <c r="BL77" s="128"/>
      <c r="BM77" s="142"/>
    </row>
    <row r="78" spans="1:65" x14ac:dyDescent="0.3">
      <c r="C78" s="23"/>
      <c r="D78" s="8" t="s">
        <v>91</v>
      </c>
      <c r="E78" s="1"/>
      <c r="F78" s="8"/>
      <c r="G78" s="116"/>
      <c r="H78" s="23"/>
      <c r="I78" s="25"/>
      <c r="J78" s="33"/>
      <c r="L78" s="24"/>
      <c r="N78" s="24"/>
      <c r="AF78" s="15"/>
      <c r="BL78" s="128"/>
      <c r="BM78" s="142"/>
    </row>
    <row r="79" spans="1:65" x14ac:dyDescent="0.3">
      <c r="B79" s="80"/>
      <c r="D79" s="8" t="s">
        <v>87</v>
      </c>
      <c r="E79" s="1"/>
      <c r="F79" s="116"/>
      <c r="G79" s="116">
        <v>30</v>
      </c>
      <c r="AF79" s="15"/>
      <c r="BL79" s="128"/>
      <c r="BM79" s="142"/>
    </row>
    <row r="80" spans="1:65" x14ac:dyDescent="0.3">
      <c r="D80" s="110" t="s">
        <v>90</v>
      </c>
      <c r="E80" s="111"/>
      <c r="F80" s="117"/>
      <c r="G80" s="117">
        <v>15117</v>
      </c>
      <c r="AF80" s="15"/>
      <c r="BL80" s="128"/>
      <c r="BM80" s="142"/>
    </row>
    <row r="81" spans="4:65" x14ac:dyDescent="0.3">
      <c r="D81" s="112"/>
      <c r="E81" s="113"/>
      <c r="F81" s="118"/>
      <c r="G81" s="118"/>
      <c r="H81" s="15"/>
      <c r="AF81" s="15"/>
      <c r="BL81" s="128"/>
      <c r="BM81" s="142"/>
    </row>
    <row r="82" spans="4:65" x14ac:dyDescent="0.3">
      <c r="D82" s="8" t="s">
        <v>81</v>
      </c>
      <c r="E82" s="1"/>
      <c r="F82" s="116">
        <v>15777.74</v>
      </c>
      <c r="G82" s="116">
        <f>SUM(G80+F82)</f>
        <v>30894.739999999998</v>
      </c>
      <c r="H82" s="20"/>
      <c r="I82" s="21"/>
      <c r="AF82" s="15"/>
      <c r="BL82" s="128"/>
      <c r="BM82" s="142"/>
    </row>
    <row r="83" spans="4:65" x14ac:dyDescent="0.3">
      <c r="D83" s="8" t="s">
        <v>113</v>
      </c>
      <c r="E83" s="1"/>
      <c r="F83" s="116">
        <v>1747.1</v>
      </c>
      <c r="G83" s="139">
        <f>SUM(G82+F83)</f>
        <v>32641.839999999997</v>
      </c>
      <c r="AF83" s="15"/>
      <c r="BL83" s="128"/>
      <c r="BM83" s="142"/>
    </row>
    <row r="84" spans="4:65" x14ac:dyDescent="0.3">
      <c r="D84" s="8"/>
      <c r="E84" s="1"/>
      <c r="F84" s="116"/>
      <c r="G84" s="116"/>
      <c r="AF84" s="15"/>
      <c r="BL84" s="128"/>
      <c r="BM84" s="142"/>
    </row>
    <row r="85" spans="4:65" x14ac:dyDescent="0.3">
      <c r="D85" s="114" t="s">
        <v>274</v>
      </c>
      <c r="E85" s="115"/>
      <c r="F85" s="119"/>
      <c r="G85" s="136">
        <f>G83-L73</f>
        <v>17648.21</v>
      </c>
      <c r="H85" s="137" t="s">
        <v>287</v>
      </c>
      <c r="I85" s="137">
        <v>17548.14</v>
      </c>
      <c r="AF85" s="15"/>
      <c r="BL85" s="128"/>
      <c r="BM85" s="142"/>
    </row>
    <row r="86" spans="4:65" x14ac:dyDescent="0.3">
      <c r="D86" s="8"/>
      <c r="E86" s="1"/>
      <c r="F86" s="116"/>
      <c r="G86" s="116"/>
      <c r="AF86" s="15"/>
      <c r="BL86" s="128"/>
    </row>
    <row r="87" spans="4:65" x14ac:dyDescent="0.3">
      <c r="D87" s="8"/>
      <c r="E87" s="1"/>
      <c r="F87" s="135" t="s">
        <v>275</v>
      </c>
      <c r="G87" s="139">
        <f>AF41</f>
        <v>17405.43</v>
      </c>
      <c r="AF87" s="15"/>
      <c r="BL87" s="128"/>
    </row>
    <row r="88" spans="4:65" x14ac:dyDescent="0.3">
      <c r="D88" s="8"/>
      <c r="E88" s="1"/>
      <c r="F88" s="116"/>
      <c r="G88" s="116"/>
      <c r="AF88" s="15"/>
      <c r="BL88" s="128"/>
    </row>
    <row r="89" spans="4:65" x14ac:dyDescent="0.3">
      <c r="D89" s="112" t="s">
        <v>276</v>
      </c>
      <c r="E89" s="113"/>
      <c r="F89" s="118"/>
      <c r="G89" s="140">
        <f>G83-G87</f>
        <v>15236.409999999996</v>
      </c>
      <c r="AF89" s="15"/>
      <c r="BL89" s="128"/>
    </row>
    <row r="90" spans="4:65" x14ac:dyDescent="0.3">
      <c r="D90" s="8" t="s">
        <v>82</v>
      </c>
      <c r="E90" s="1"/>
      <c r="F90" s="8"/>
      <c r="G90" s="12"/>
      <c r="AF90" s="15"/>
      <c r="BL90" s="128"/>
    </row>
    <row r="91" spans="4:65" x14ac:dyDescent="0.3">
      <c r="AF91" s="15"/>
    </row>
    <row r="92" spans="4:65" x14ac:dyDescent="0.3">
      <c r="AF92" s="15"/>
    </row>
    <row r="93" spans="4:65" x14ac:dyDescent="0.3">
      <c r="AF93" s="15"/>
    </row>
    <row r="94" spans="4:65" x14ac:dyDescent="0.3">
      <c r="AF94" s="15"/>
    </row>
    <row r="95" spans="4:65" x14ac:dyDescent="0.3">
      <c r="AF95" s="15"/>
    </row>
    <row r="96" spans="4:65" x14ac:dyDescent="0.3">
      <c r="AF96" s="15"/>
    </row>
    <row r="97" spans="32:32" x14ac:dyDescent="0.3">
      <c r="AF97" s="15"/>
    </row>
    <row r="98" spans="32:32" x14ac:dyDescent="0.3">
      <c r="AF98" s="15"/>
    </row>
    <row r="99" spans="32:32" x14ac:dyDescent="0.3">
      <c r="AF99" s="15"/>
    </row>
    <row r="100" spans="32:32" x14ac:dyDescent="0.3">
      <c r="AF100" s="15"/>
    </row>
    <row r="101" spans="32:32" x14ac:dyDescent="0.3">
      <c r="AF101" s="15"/>
    </row>
    <row r="102" spans="32:32" x14ac:dyDescent="0.3">
      <c r="AF102" s="15"/>
    </row>
    <row r="103" spans="32:32" x14ac:dyDescent="0.3">
      <c r="AF103" s="15"/>
    </row>
    <row r="104" spans="32:32" x14ac:dyDescent="0.3">
      <c r="AF104" s="15"/>
    </row>
    <row r="105" spans="32:32" x14ac:dyDescent="0.3">
      <c r="AF105" s="15"/>
    </row>
    <row r="106" spans="32:32" x14ac:dyDescent="0.3">
      <c r="AF106" s="15"/>
    </row>
    <row r="107" spans="32:32" x14ac:dyDescent="0.3">
      <c r="AF107" s="15"/>
    </row>
    <row r="108" spans="32:32" x14ac:dyDescent="0.3">
      <c r="AF108" s="15"/>
    </row>
    <row r="109" spans="32:32" x14ac:dyDescent="0.3">
      <c r="AF109" s="15"/>
    </row>
    <row r="110" spans="32:32" x14ac:dyDescent="0.3">
      <c r="AF110" s="15"/>
    </row>
    <row r="111" spans="32:32" x14ac:dyDescent="0.3">
      <c r="AF111" s="15"/>
    </row>
    <row r="112" spans="32:32" x14ac:dyDescent="0.3">
      <c r="AF112" s="15"/>
    </row>
    <row r="113" spans="32:32" x14ac:dyDescent="0.3">
      <c r="AF113" s="15"/>
    </row>
  </sheetData>
  <protectedRanges>
    <protectedRange algorithmName="SHA-512" hashValue="D73XDHjE/DTVz7HsMFPTXOR/pAa3ucbqwnmNK/L0CTww8oAMKJqineMC6gdvej9uX2b49HdAqZfnQ5U0TaZSGg==" saltValue="zQRjP25ugXD+dVw1Pk7ThQ==" spinCount="100000" sqref="AI2:AI41 BO5:BO38 AJ2:AW42 R2:R39 R41:R42 H18 H10:H15 H28 H48 AY2:BM4 AY6:AZ6 AY5 AY42:BJ42 AY41:BH41 BL41:BM41 BL5:BM5 G87 BL6 AY7:BL9 BM6:BM9 AY10:BM40 S2:AH42" name="Range1"/>
    <protectedRange algorithmName="SHA-512" hashValue="D73XDHjE/DTVz7HsMFPTXOR/pAa3ucbqwnmNK/L0CTww8oAMKJqineMC6gdvej9uX2b49HdAqZfnQ5U0TaZSGg==" saltValue="zQRjP25ugXD+dVw1Pk7ThQ==" spinCount="100000" sqref="BK42:BM42" name="Range1_2"/>
  </protectedRanges>
  <mergeCells count="4">
    <mergeCell ref="M2:M3"/>
    <mergeCell ref="E2:E3"/>
    <mergeCell ref="F2:F3"/>
    <mergeCell ref="Q1:Q1048576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colBreaks count="1" manualBreakCount="1">
    <brk id="16" max="1048575" man="1"/>
  </colBreaks>
  <ignoredErrors>
    <ignoredError sqref="V21:AD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&amp; Budget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fentonparishcouncil</dc:creator>
  <cp:lastModifiedBy>Clerk to Harmston PC</cp:lastModifiedBy>
  <cp:lastPrinted>2024-01-24T16:48:01Z</cp:lastPrinted>
  <dcterms:created xsi:type="dcterms:W3CDTF">2019-06-28T13:57:46Z</dcterms:created>
  <dcterms:modified xsi:type="dcterms:W3CDTF">2025-04-15T13:54:11Z</dcterms:modified>
</cp:coreProperties>
</file>